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11/relationships/webextensiontaskpanes" Target="xl/webextensions/taskpanes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3"/>
  <workbookPr/>
  <mc:AlternateContent xmlns:mc="http://schemas.openxmlformats.org/markup-compatibility/2006">
    <mc:Choice Requires="x15">
      <x15ac:absPath xmlns:x15ac="http://schemas.microsoft.com/office/spreadsheetml/2010/11/ac" url="https://wsporg-my.sharepoint.com/personal/oliver_sealey_fe_training/Documents/Documents/prepped numbered resources/7090b hologic/"/>
    </mc:Choice>
  </mc:AlternateContent>
  <xr:revisionPtr revIDLastSave="0" documentId="8_{EDC293EE-E428-4B01-AAC9-3DB47B7BCAA7}" xr6:coauthVersionLast="47" xr6:coauthVersionMax="47" xr10:uidLastSave="{00000000-0000-0000-0000-000000000000}"/>
  <bookViews>
    <workbookView xWindow="-105" yWindow="0" windowWidth="26010" windowHeight="20985" firstSheet="2" activeTab="2" xr2:uid="{7D52EE58-5458-4709-94D2-004F45B0B863}"/>
    <workbookView xWindow="25695" yWindow="0" windowWidth="26010" windowHeight="20985" firstSheet="2" activeTab="2" xr2:uid="{87D09EF9-4E5F-4B7C-9749-FCB8C920333A}"/>
  </bookViews>
  <sheets>
    <sheet name="Welcome" sheetId="1" r:id="rId1"/>
    <sheet name="Info" sheetId="6" r:id="rId2"/>
    <sheet name="LBO" sheetId="27" r:id="rId3"/>
    <sheet name="Input" sheetId="22" r:id="rId4"/>
    <sheet name="Calc" sheetId="23" r:id="rId5"/>
    <sheet name="IS" sheetId="24" r:id="rId6"/>
    <sheet name="BS" sheetId="25" r:id="rId7"/>
    <sheet name="CFS" sheetId="26" r:id="rId8"/>
    <sheet name="Debt" sheetId="28" r:id="rId9"/>
  </sheets>
  <definedNames>
    <definedName name="case">Input!#REF!</definedName>
    <definedName name="CIQWBGuid" hidden="1">"571ab0c3-d74c-43bc-a7ba-442a57d4d174"</definedName>
    <definedName name="date">Info!#REF!</definedName>
    <definedName name="IQ_DNTM" hidden="1">700000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LATESTK" hidden="1">1000</definedName>
    <definedName name="IQ_LATESTQ" hidden="1">500</definedName>
    <definedName name="IQ_LTMMONTH" hidden="1">120000</definedName>
    <definedName name="IQ_MTD" hidden="1">800000</definedName>
    <definedName name="IQ_NAMES_REVISION_DATE_" hidden="1">"01/29/2016 15:32:18"</definedName>
    <definedName name="IQ_QTD" hidden="1">750000</definedName>
    <definedName name="IQ_TODAY" hidden="1">0</definedName>
    <definedName name="IQ_YTDMONTH" hidden="1">130000</definedName>
    <definedName name="IQRBWSM104" localSheetId="8" hidden="1">#REF!</definedName>
    <definedName name="IQRBWSM104" localSheetId="2" hidden="1">#REF!</definedName>
    <definedName name="IQRBWSM104" hidden="1">#REF!</definedName>
    <definedName name="IQRDECKM104" localSheetId="8" hidden="1">#REF!</definedName>
    <definedName name="IQRDECKM104" localSheetId="2" hidden="1">#REF!</definedName>
    <definedName name="IQRDECKM104" hidden="1">#REF!</definedName>
    <definedName name="IQRDSWM104" localSheetId="8" hidden="1">#REF!</definedName>
    <definedName name="IQRDSWM104" localSheetId="2" hidden="1">#REF!</definedName>
    <definedName name="IQRDSWM104" hidden="1">#REF!</definedName>
    <definedName name="IQRFINLM104" localSheetId="8" hidden="1">#REF!</definedName>
    <definedName name="IQRFINLM104" localSheetId="2" hidden="1">#REF!</definedName>
    <definedName name="IQRFINLM104" hidden="1">#REF!</definedName>
    <definedName name="IQRGCOM104" localSheetId="8" hidden="1">#REF!</definedName>
    <definedName name="IQRGCOM104" localSheetId="2" hidden="1">#REF!</definedName>
    <definedName name="IQRGCOM104" hidden="1">#REF!</definedName>
    <definedName name="IQRSHOOM104" localSheetId="8" hidden="1">#REF!</definedName>
    <definedName name="IQRSHOOM104" localSheetId="2" hidden="1">#REF!</definedName>
    <definedName name="IQRSHOOM104" hidden="1">#REF!</definedName>
    <definedName name="IQRSKXM104" localSheetId="8" hidden="1">#REF!</definedName>
    <definedName name="IQRSKXM104" localSheetId="2" hidden="1">#REF!</definedName>
    <definedName name="IQRSKXM104" hidden="1">#REF!</definedName>
    <definedName name="IQRTargetM104" localSheetId="8" hidden="1">#REF!</definedName>
    <definedName name="IQRTargetM104" localSheetId="2" hidden="1">#REF!</definedName>
    <definedName name="IQRTargetM104" hidden="1">#REF!</definedName>
    <definedName name="IQRTODM104" localSheetId="8" hidden="1">#REF!</definedName>
    <definedName name="IQRTODM104" localSheetId="2" hidden="1">#REF!</definedName>
    <definedName name="IQRTODM104" hidden="1">#REF!</definedName>
    <definedName name="IQRWWWM104" localSheetId="8" hidden="1">#REF!</definedName>
    <definedName name="IQRWWWM104" localSheetId="2" hidden="1">#REF!</definedName>
    <definedName name="IQRWWWM104" hidden="1">#REF!</definedName>
    <definedName name="switch">Info!$N$11</definedName>
    <definedName name="Switch2">Input!#REF!</definedName>
    <definedName name="target_yrend">Info!$N$8</definedName>
    <definedName name="Title">Info!$A$1</definedName>
  </definedNames>
  <calcPr calcId="191028" calcMode="autoNoTable" iterate="1" calcComplete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05" i="27" l="1"/>
  <c r="I48" i="28"/>
  <c r="J48" i="28"/>
  <c r="K48" i="28"/>
  <c r="L48" i="28"/>
  <c r="M48" i="28"/>
  <c r="N48" i="28"/>
  <c r="O48" i="28"/>
  <c r="H48" i="28"/>
  <c r="H47" i="28"/>
  <c r="O40" i="28"/>
  <c r="H40" i="28"/>
  <c r="O53" i="28" l="1"/>
  <c r="O104" i="27" s="1"/>
  <c r="H53" i="28"/>
  <c r="H104" i="27" s="1"/>
  <c r="O21" i="26" l="1"/>
  <c r="O20" i="23"/>
  <c r="H21" i="26"/>
  <c r="H20" i="23"/>
  <c r="I8" i="23" l="1"/>
  <c r="J8" i="23"/>
  <c r="K8" i="23"/>
  <c r="L8" i="23"/>
  <c r="M8" i="23"/>
  <c r="N8" i="23"/>
  <c r="O8" i="23"/>
  <c r="H8" i="23"/>
  <c r="I14" i="26"/>
  <c r="J14" i="26"/>
  <c r="K14" i="26"/>
  <c r="L14" i="26"/>
  <c r="M14" i="26"/>
  <c r="N14" i="26"/>
  <c r="O14" i="26"/>
  <c r="H14" i="26"/>
  <c r="I12" i="27"/>
  <c r="J12" i="27" s="1"/>
  <c r="K12" i="27" s="1"/>
  <c r="L12" i="27" s="1"/>
  <c r="M12" i="27" s="1"/>
  <c r="N12" i="27" s="1"/>
  <c r="O12" i="27" s="1"/>
  <c r="H5" i="24"/>
  <c r="I5" i="24" s="1"/>
  <c r="J5" i="24" s="1"/>
  <c r="H22" i="27"/>
  <c r="H8" i="24" s="1"/>
  <c r="H18" i="27"/>
  <c r="H6" i="24" s="1"/>
  <c r="H7" i="24" s="1"/>
  <c r="I10" i="27"/>
  <c r="J17" i="27" s="1"/>
  <c r="H10" i="27"/>
  <c r="I16" i="27" s="1"/>
  <c r="C128" i="27"/>
  <c r="C127" i="27" s="1"/>
  <c r="C126" i="27" s="1"/>
  <c r="C125" i="27" s="1"/>
  <c r="C124" i="27" s="1"/>
  <c r="C123" i="27" s="1"/>
  <c r="C122" i="27" s="1"/>
  <c r="C121" i="27" s="1"/>
  <c r="I32" i="23"/>
  <c r="J32" i="23" s="1"/>
  <c r="K32" i="23" s="1"/>
  <c r="L32" i="23" s="1"/>
  <c r="M32" i="23" s="1"/>
  <c r="N32" i="23" s="1"/>
  <c r="O32" i="23" s="1"/>
  <c r="O34" i="23" s="1"/>
  <c r="J21" i="27" l="1"/>
  <c r="K17" i="27"/>
  <c r="J16" i="27"/>
  <c r="J18" i="27" s="1"/>
  <c r="I18" i="27"/>
  <c r="I20" i="27"/>
  <c r="I22" i="27" s="1"/>
  <c r="I8" i="24" s="1"/>
  <c r="K5" i="24"/>
  <c r="A3" i="28" a="1"/>
  <c r="A3" i="26" a="1"/>
  <c r="A3" i="25" a="1"/>
  <c r="A3" i="24" a="1"/>
  <c r="A3" i="23" a="1"/>
  <c r="A3" i="22" a="1"/>
  <c r="A3" i="27" a="1"/>
  <c r="K16" i="27" l="1"/>
  <c r="L16" i="27" s="1"/>
  <c r="J6" i="24"/>
  <c r="J7" i="24" s="1"/>
  <c r="I6" i="24"/>
  <c r="I7" i="24" s="1"/>
  <c r="J20" i="27"/>
  <c r="J22" i="27" s="1"/>
  <c r="J8" i="24" s="1"/>
  <c r="K21" i="27"/>
  <c r="L17" i="27"/>
  <c r="L5" i="24"/>
  <c r="I17" i="22"/>
  <c r="K18" i="27" l="1"/>
  <c r="K6" i="24" s="1"/>
  <c r="K7" i="24" s="1"/>
  <c r="K20" i="27"/>
  <c r="K22" i="27"/>
  <c r="K8" i="24" s="1"/>
  <c r="L18" i="27"/>
  <c r="M16" i="27"/>
  <c r="L20" i="27"/>
  <c r="M17" i="27"/>
  <c r="L21" i="27"/>
  <c r="M5" i="24"/>
  <c r="D13" i="27"/>
  <c r="D67" i="28"/>
  <c r="L6" i="24" l="1"/>
  <c r="L7" i="24" s="1"/>
  <c r="L22" i="27"/>
  <c r="L8" i="24" s="1"/>
  <c r="N17" i="27"/>
  <c r="M21" i="27"/>
  <c r="N16" i="27"/>
  <c r="M18" i="27"/>
  <c r="M20" i="27"/>
  <c r="N5" i="24"/>
  <c r="P99" i="27"/>
  <c r="P100" i="27"/>
  <c r="P101" i="27"/>
  <c r="P102" i="27"/>
  <c r="H84" i="27"/>
  <c r="J15" i="22"/>
  <c r="K15" i="22" s="1"/>
  <c r="L15" i="22" s="1"/>
  <c r="J14" i="22"/>
  <c r="K14" i="22" s="1"/>
  <c r="M9" i="22"/>
  <c r="M10" i="22" s="1" a="1"/>
  <c r="I10" i="22" a="1"/>
  <c r="J10" i="22" a="1"/>
  <c r="K10" i="22" a="1"/>
  <c r="L10" i="22" a="1"/>
  <c r="H10" i="22" a="1"/>
  <c r="M8" i="22"/>
  <c r="N8" i="22" s="1"/>
  <c r="O8" i="22" s="1"/>
  <c r="I26" i="28"/>
  <c r="J26" i="28"/>
  <c r="K26" i="28"/>
  <c r="L26" i="28"/>
  <c r="M26" i="28"/>
  <c r="N26" i="28"/>
  <c r="O26" i="28"/>
  <c r="G26" i="28"/>
  <c r="H26" i="28"/>
  <c r="C116" i="27"/>
  <c r="C117" i="27" s="1"/>
  <c r="C114" i="27"/>
  <c r="C113" i="27" s="1"/>
  <c r="D39" i="27"/>
  <c r="C59" i="27" a="1"/>
  <c r="M22" i="27" l="1"/>
  <c r="M8" i="24" s="1"/>
  <c r="M6" i="24"/>
  <c r="M7" i="24" s="1"/>
  <c r="N18" i="27"/>
  <c r="N20" i="27"/>
  <c r="O16" i="27"/>
  <c r="O17" i="27"/>
  <c r="O21" i="27" s="1"/>
  <c r="N21" i="27"/>
  <c r="O5" i="24"/>
  <c r="J16" i="22" a="1"/>
  <c r="L14" i="22"/>
  <c r="M14" i="22" s="1"/>
  <c r="N14" i="22" s="1"/>
  <c r="O14" i="22" s="1"/>
  <c r="K16" i="22" a="1"/>
  <c r="I14" i="22"/>
  <c r="I15" i="22"/>
  <c r="H15" i="22" s="1"/>
  <c r="N9" i="22"/>
  <c r="O9" i="22" s="1"/>
  <c r="O10" i="22" s="1" a="1"/>
  <c r="M15" i="22"/>
  <c r="N10" i="22" a="1"/>
  <c r="N6" i="24" l="1"/>
  <c r="N7" i="24" s="1"/>
  <c r="N22" i="27"/>
  <c r="N8" i="24" s="1"/>
  <c r="O20" i="27"/>
  <c r="O22" i="27" s="1"/>
  <c r="O8" i="24" s="1"/>
  <c r="O18" i="27"/>
  <c r="L16" i="22" a="1"/>
  <c r="H14" i="22"/>
  <c r="H16" i="22" s="1" a="1"/>
  <c r="I16" i="22" a="1"/>
  <c r="N15" i="22"/>
  <c r="M16" i="22" a="1"/>
  <c r="O6" i="24" l="1"/>
  <c r="O7" i="24" s="1"/>
  <c r="O15" i="22"/>
  <c r="O16" i="22" s="1" a="1"/>
  <c r="N16" i="22" a="1"/>
  <c r="K24" i="22" l="1"/>
  <c r="L24" i="22" s="1"/>
  <c r="M24" i="22" s="1"/>
  <c r="N24" i="22" s="1"/>
  <c r="O24" i="22" s="1"/>
  <c r="L18" i="22"/>
  <c r="M18" i="22" s="1"/>
  <c r="N18" i="22" s="1"/>
  <c r="O18" i="22" s="1"/>
  <c r="D28" i="25"/>
  <c r="D28" i="22" s="1"/>
  <c r="H28" i="22" s="1"/>
  <c r="H28" i="25" s="1"/>
  <c r="C28" i="25"/>
  <c r="C28" i="22" s="1"/>
  <c r="D18" i="25"/>
  <c r="D27" i="22" s="1"/>
  <c r="H27" i="22" s="1"/>
  <c r="C18" i="25"/>
  <c r="C27" i="22" s="1"/>
  <c r="D12" i="25"/>
  <c r="D25" i="22" s="1"/>
  <c r="H25" i="22" s="1"/>
  <c r="I25" i="22" s="1"/>
  <c r="J25" i="22" s="1"/>
  <c r="K25" i="22" s="1"/>
  <c r="K12" i="25" s="1"/>
  <c r="C12" i="25"/>
  <c r="C25" i="22" s="1"/>
  <c r="D15" i="24"/>
  <c r="C15" i="24"/>
  <c r="I12" i="24"/>
  <c r="I21" i="24" s="1"/>
  <c r="J12" i="24"/>
  <c r="J21" i="24" s="1"/>
  <c r="K12" i="24"/>
  <c r="K21" i="24" s="1"/>
  <c r="L12" i="24"/>
  <c r="L21" i="24" s="1"/>
  <c r="M12" i="24"/>
  <c r="M21" i="24" s="1"/>
  <c r="N12" i="24"/>
  <c r="N21" i="24" s="1"/>
  <c r="O12" i="24"/>
  <c r="H12" i="24"/>
  <c r="H21" i="24" s="1"/>
  <c r="D13" i="22"/>
  <c r="C13" i="22"/>
  <c r="B56" i="27"/>
  <c r="B25" i="25" s="1"/>
  <c r="B7" i="28" s="1"/>
  <c r="B17" i="28" s="1"/>
  <c r="B55" i="27"/>
  <c r="B23" i="25" s="1"/>
  <c r="J12" i="22"/>
  <c r="K12" i="22" s="1"/>
  <c r="L12" i="22" s="1"/>
  <c r="M12" i="22" s="1"/>
  <c r="N12" i="22" s="1"/>
  <c r="O12" i="22" s="1"/>
  <c r="D17" i="22"/>
  <c r="C22" i="24"/>
  <c r="D22" i="24"/>
  <c r="A1" i="26"/>
  <c r="D3" i="26"/>
  <c r="H3" i="26" s="1"/>
  <c r="I3" i="26" s="1"/>
  <c r="J3" i="26" s="1"/>
  <c r="K3" i="26" s="1"/>
  <c r="L3" i="26" s="1"/>
  <c r="M3" i="26" s="1"/>
  <c r="N3" i="26" s="1"/>
  <c r="O3" i="26" s="1"/>
  <c r="J17" i="22"/>
  <c r="K17" i="22" s="1"/>
  <c r="L17" i="22" s="1"/>
  <c r="M17" i="22" s="1"/>
  <c r="N17" i="22" s="1"/>
  <c r="C12" i="22"/>
  <c r="D12" i="22"/>
  <c r="D10" i="22"/>
  <c r="C11" i="22"/>
  <c r="D11" i="22"/>
  <c r="C65" i="27"/>
  <c r="C57" i="27" a="1"/>
  <c r="J57" i="27" s="1"/>
  <c r="K57" i="27" s="1"/>
  <c r="F31" i="25"/>
  <c r="C55" i="27" a="1"/>
  <c r="J55" i="27" s="1"/>
  <c r="C56" i="27" a="1"/>
  <c r="J56" i="27" s="1"/>
  <c r="K56" i="27" s="1"/>
  <c r="C54" i="27" a="1"/>
  <c r="D8" i="27"/>
  <c r="C21" i="24"/>
  <c r="D21" i="24"/>
  <c r="C10" i="24"/>
  <c r="C14" i="24" s="1"/>
  <c r="D10" i="24"/>
  <c r="D14" i="24" s="1"/>
  <c r="C21" i="22"/>
  <c r="D21" i="22"/>
  <c r="H21" i="22" s="1"/>
  <c r="I21" i="22" s="1"/>
  <c r="D3" i="28"/>
  <c r="H3" i="28" s="1"/>
  <c r="I3" i="28" s="1"/>
  <c r="J3" i="28" s="1"/>
  <c r="K3" i="28" s="1"/>
  <c r="L3" i="28" s="1"/>
  <c r="M3" i="28" s="1"/>
  <c r="N3" i="28" s="1"/>
  <c r="O3" i="28" s="1"/>
  <c r="D3" i="25"/>
  <c r="H3" i="25" s="1"/>
  <c r="I3" i="25" s="1"/>
  <c r="J3" i="25" s="1"/>
  <c r="K3" i="25" s="1"/>
  <c r="L3" i="25" s="1"/>
  <c r="M3" i="25" s="1"/>
  <c r="N3" i="25" s="1"/>
  <c r="O3" i="25" s="1"/>
  <c r="D3" i="24"/>
  <c r="C3" i="24" s="1"/>
  <c r="D3" i="23"/>
  <c r="H3" i="23" s="1"/>
  <c r="I3" i="23" s="1"/>
  <c r="J3" i="23" s="1"/>
  <c r="K3" i="23" s="1"/>
  <c r="L3" i="23" s="1"/>
  <c r="M3" i="23" s="1"/>
  <c r="N3" i="23" s="1"/>
  <c r="O3" i="23" s="1"/>
  <c r="D3" i="22"/>
  <c r="C3" i="22" s="1"/>
  <c r="D3" i="27"/>
  <c r="A2" i="6" a="1"/>
  <c r="A1" i="28"/>
  <c r="A1" i="25"/>
  <c r="A1" i="24"/>
  <c r="A1" i="23"/>
  <c r="A1" i="22"/>
  <c r="A1" i="27"/>
  <c r="D26" i="22"/>
  <c r="H26" i="22" s="1"/>
  <c r="I26" i="22" s="1"/>
  <c r="C26" i="22"/>
  <c r="L11" i="22"/>
  <c r="M11" i="22" s="1"/>
  <c r="N11" i="22" s="1"/>
  <c r="O11" i="22" s="1"/>
  <c r="I75" i="27"/>
  <c r="F21" i="25"/>
  <c r="G21" i="25" s="1"/>
  <c r="H21" i="25" s="1"/>
  <c r="F5" i="25"/>
  <c r="G5" i="25" s="1"/>
  <c r="G28" i="25"/>
  <c r="G17" i="25"/>
  <c r="G28" i="23" s="1"/>
  <c r="G11" i="25"/>
  <c r="G10" i="23" s="1"/>
  <c r="H6" i="23" s="1"/>
  <c r="G8" i="25"/>
  <c r="G27" i="23" s="1"/>
  <c r="G7" i="25"/>
  <c r="G26" i="23" s="1"/>
  <c r="G6" i="25"/>
  <c r="G25" i="23" s="1"/>
  <c r="G55" i="27"/>
  <c r="G56" i="27"/>
  <c r="G54" i="27"/>
  <c r="B43" i="27"/>
  <c r="C44" i="27"/>
  <c r="C24" i="22"/>
  <c r="D24" i="22"/>
  <c r="C23" i="22"/>
  <c r="D23" i="22"/>
  <c r="H23" i="22" s="1"/>
  <c r="I23" i="22" s="1"/>
  <c r="J23" i="22" s="1"/>
  <c r="K23" i="22" s="1"/>
  <c r="C22" i="22"/>
  <c r="D22" i="22"/>
  <c r="H22" i="22" s="1"/>
  <c r="B28" i="23"/>
  <c r="B27" i="23"/>
  <c r="B26" i="23"/>
  <c r="B25" i="23"/>
  <c r="C9" i="25"/>
  <c r="D9" i="25"/>
  <c r="O88" i="27" l="1"/>
  <c r="H88" i="27"/>
  <c r="K55" i="27"/>
  <c r="J60" i="27"/>
  <c r="I35" i="23"/>
  <c r="J35" i="23"/>
  <c r="L35" i="23"/>
  <c r="M35" i="23"/>
  <c r="N35" i="23"/>
  <c r="O35" i="23"/>
  <c r="H35" i="23"/>
  <c r="K35" i="23"/>
  <c r="O36" i="23"/>
  <c r="N36" i="23"/>
  <c r="J36" i="23"/>
  <c r="M36" i="23"/>
  <c r="I36" i="23"/>
  <c r="K36" i="23"/>
  <c r="L36" i="23"/>
  <c r="H36" i="23"/>
  <c r="F25" i="25"/>
  <c r="G61" i="28" s="1"/>
  <c r="H58" i="28" s="1"/>
  <c r="H59" i="28" s="1"/>
  <c r="H17" i="28" s="1"/>
  <c r="D66" i="27"/>
  <c r="D65" i="27" s="1"/>
  <c r="E30" i="27"/>
  <c r="E29" i="27"/>
  <c r="O21" i="24"/>
  <c r="F16" i="25"/>
  <c r="G16" i="25" s="1"/>
  <c r="G23" i="28" s="1"/>
  <c r="I84" i="27"/>
  <c r="I13" i="24"/>
  <c r="C19" i="25"/>
  <c r="C29" i="25" s="1"/>
  <c r="C32" i="25" s="1"/>
  <c r="G12" i="25"/>
  <c r="D14" i="25"/>
  <c r="B57" i="28"/>
  <c r="J13" i="24"/>
  <c r="D19" i="25"/>
  <c r="D29" i="25" s="1"/>
  <c r="D32" i="25" s="1"/>
  <c r="G18" i="25"/>
  <c r="G29" i="23" s="1"/>
  <c r="G30" i="23" s="1"/>
  <c r="H9" i="26"/>
  <c r="C3" i="23"/>
  <c r="C14" i="25"/>
  <c r="C3" i="25"/>
  <c r="C3" i="26"/>
  <c r="C16" i="24"/>
  <c r="C18" i="22" s="1"/>
  <c r="H3" i="24"/>
  <c r="I3" i="24" s="1"/>
  <c r="J3" i="24" s="1"/>
  <c r="K3" i="24" s="1"/>
  <c r="L3" i="24" s="1"/>
  <c r="M3" i="24" s="1"/>
  <c r="N3" i="24" s="1"/>
  <c r="O3" i="24" s="1"/>
  <c r="H18" i="26"/>
  <c r="I21" i="25"/>
  <c r="C20" i="24"/>
  <c r="C23" i="24" s="1"/>
  <c r="I28" i="22"/>
  <c r="H7" i="23"/>
  <c r="H13" i="26" s="1"/>
  <c r="H3" i="22"/>
  <c r="I3" i="22" s="1"/>
  <c r="J3" i="22" s="1"/>
  <c r="K3" i="22" s="1"/>
  <c r="L3" i="22" s="1"/>
  <c r="M3" i="22" s="1"/>
  <c r="N3" i="22" s="1"/>
  <c r="O3" i="22" s="1"/>
  <c r="H12" i="25"/>
  <c r="H8" i="25"/>
  <c r="H27" i="23" s="1"/>
  <c r="H9" i="24"/>
  <c r="H10" i="24" s="1"/>
  <c r="H11" i="24"/>
  <c r="B19" i="26"/>
  <c r="B6" i="28"/>
  <c r="B22" i="26"/>
  <c r="C3" i="28"/>
  <c r="G27" i="26"/>
  <c r="H25" i="26" s="1"/>
  <c r="H10" i="28"/>
  <c r="G9" i="25"/>
  <c r="J21" i="22"/>
  <c r="H9" i="23"/>
  <c r="H22" i="24" s="1"/>
  <c r="L23" i="22"/>
  <c r="G95" i="27"/>
  <c r="G98" i="27" s="1"/>
  <c r="F26" i="25"/>
  <c r="G26" i="25" s="1"/>
  <c r="G71" i="28"/>
  <c r="H69" i="28" s="1"/>
  <c r="H70" i="28" s="1"/>
  <c r="O17" i="22"/>
  <c r="J26" i="22"/>
  <c r="H3" i="27"/>
  <c r="I3" i="27" s="1"/>
  <c r="J3" i="27" s="1"/>
  <c r="K3" i="27" s="1"/>
  <c r="L3" i="27" s="1"/>
  <c r="M3" i="27" s="1"/>
  <c r="N3" i="27" s="1"/>
  <c r="O3" i="27" s="1"/>
  <c r="C3" i="27"/>
  <c r="I27" i="22"/>
  <c r="H18" i="25"/>
  <c r="H29" i="23" s="1"/>
  <c r="D16" i="24"/>
  <c r="D20" i="24"/>
  <c r="D23" i="24" s="1"/>
  <c r="D15" i="27" s="1"/>
  <c r="F23" i="25"/>
  <c r="L25" i="22"/>
  <c r="J12" i="25"/>
  <c r="K8" i="26" s="1"/>
  <c r="I12" i="25"/>
  <c r="J75" i="27"/>
  <c r="J84" i="27" s="1"/>
  <c r="I22" i="22"/>
  <c r="H6" i="25"/>
  <c r="H25" i="23" s="1"/>
  <c r="G103" i="27"/>
  <c r="G89" i="27"/>
  <c r="H13" i="24"/>
  <c r="K13" i="24"/>
  <c r="G27" i="28" l="1"/>
  <c r="G28" i="28" s="1"/>
  <c r="H15" i="26"/>
  <c r="H12" i="28" s="1"/>
  <c r="G25" i="25"/>
  <c r="F22" i="25"/>
  <c r="G22" i="25" s="1"/>
  <c r="C45" i="27"/>
  <c r="G37" i="23" s="1"/>
  <c r="H33" i="23" s="1"/>
  <c r="H34" i="23"/>
  <c r="I34" i="23"/>
  <c r="J34" i="23"/>
  <c r="K34" i="23"/>
  <c r="L34" i="23"/>
  <c r="M34" i="23"/>
  <c r="N34" i="23"/>
  <c r="K60" i="27"/>
  <c r="D64" i="27"/>
  <c r="D10" i="27"/>
  <c r="D11" i="27" s="1"/>
  <c r="D34" i="25"/>
  <c r="D71" i="27"/>
  <c r="H8" i="26"/>
  <c r="C34" i="25"/>
  <c r="B16" i="28"/>
  <c r="B34" i="28"/>
  <c r="H14" i="24"/>
  <c r="G19" i="25"/>
  <c r="J28" i="22"/>
  <c r="C18" i="24"/>
  <c r="I28" i="25"/>
  <c r="I9" i="26" s="1"/>
  <c r="J21" i="25"/>
  <c r="I18" i="26"/>
  <c r="H10" i="23"/>
  <c r="H11" i="25" s="1"/>
  <c r="I8" i="25"/>
  <c r="I27" i="23" s="1"/>
  <c r="I9" i="24"/>
  <c r="I17" i="25" s="1"/>
  <c r="I28" i="23" s="1"/>
  <c r="J8" i="25"/>
  <c r="J27" i="23" s="1"/>
  <c r="I11" i="24"/>
  <c r="I7" i="23"/>
  <c r="I13" i="26" s="1"/>
  <c r="H17" i="25"/>
  <c r="H28" i="23" s="1"/>
  <c r="H7" i="25"/>
  <c r="H26" i="23" s="1"/>
  <c r="D54" i="27"/>
  <c r="D55" i="27" s="1"/>
  <c r="K21" i="22"/>
  <c r="H71" i="28"/>
  <c r="G43" i="28"/>
  <c r="G81" i="28" s="1"/>
  <c r="G23" i="25"/>
  <c r="K75" i="27"/>
  <c r="K84" i="27" s="1"/>
  <c r="M23" i="22"/>
  <c r="J8" i="26"/>
  <c r="I8" i="26"/>
  <c r="D18" i="24"/>
  <c r="D18" i="22"/>
  <c r="K26" i="22"/>
  <c r="I6" i="25"/>
  <c r="I25" i="23" s="1"/>
  <c r="J22" i="22"/>
  <c r="M25" i="22"/>
  <c r="L12" i="25"/>
  <c r="I18" i="25"/>
  <c r="I29" i="23" s="1"/>
  <c r="J27" i="22"/>
  <c r="H21" i="28"/>
  <c r="I15" i="26" l="1"/>
  <c r="I12" i="28" s="1"/>
  <c r="H20" i="24"/>
  <c r="H23" i="24" s="1"/>
  <c r="H5" i="26" s="1"/>
  <c r="H79" i="28" s="1"/>
  <c r="H80" i="28" s="1"/>
  <c r="H37" i="23"/>
  <c r="I33" i="23" s="1"/>
  <c r="I37" i="23" s="1"/>
  <c r="H72" i="28"/>
  <c r="H96" i="27" s="1"/>
  <c r="D56" i="27"/>
  <c r="D57" i="27" s="1"/>
  <c r="J7" i="23"/>
  <c r="J13" i="26" s="1"/>
  <c r="I10" i="24"/>
  <c r="I14" i="24" s="1"/>
  <c r="K28" i="22"/>
  <c r="J28" i="25"/>
  <c r="J9" i="26" s="1"/>
  <c r="I7" i="25"/>
  <c r="I26" i="23" s="1"/>
  <c r="I30" i="23" s="1"/>
  <c r="K21" i="25"/>
  <c r="J18" i="26"/>
  <c r="I6" i="23"/>
  <c r="I9" i="23" s="1"/>
  <c r="I22" i="24" s="1"/>
  <c r="J11" i="24"/>
  <c r="K8" i="25"/>
  <c r="K27" i="23" s="1"/>
  <c r="J9" i="24"/>
  <c r="J7" i="25" s="1"/>
  <c r="J26" i="23" s="1"/>
  <c r="H30" i="23"/>
  <c r="H10" i="26" s="1"/>
  <c r="D12" i="27"/>
  <c r="H26" i="25"/>
  <c r="H80" i="27"/>
  <c r="H95" i="27" s="1"/>
  <c r="I69" i="28"/>
  <c r="I70" i="28" s="1"/>
  <c r="L75" i="27"/>
  <c r="L84" i="27" s="1"/>
  <c r="L26" i="22"/>
  <c r="K22" i="22"/>
  <c r="J6" i="25"/>
  <c r="J25" i="23" s="1"/>
  <c r="L8" i="26"/>
  <c r="N23" i="22"/>
  <c r="J18" i="25"/>
  <c r="J29" i="23" s="1"/>
  <c r="K27" i="22"/>
  <c r="M12" i="25"/>
  <c r="N25" i="22"/>
  <c r="H39" i="28"/>
  <c r="H41" i="28" s="1"/>
  <c r="H16" i="28" s="1"/>
  <c r="L21" i="22"/>
  <c r="L13" i="24"/>
  <c r="J15" i="26" l="1"/>
  <c r="J12" i="28" s="1"/>
  <c r="H76" i="27"/>
  <c r="H22" i="25"/>
  <c r="J33" i="23"/>
  <c r="J37" i="23" s="1"/>
  <c r="I22" i="25"/>
  <c r="I20" i="24"/>
  <c r="I23" i="24" s="1"/>
  <c r="L28" i="22"/>
  <c r="K28" i="25"/>
  <c r="K9" i="26" s="1"/>
  <c r="K11" i="24"/>
  <c r="J17" i="25"/>
  <c r="J28" i="23" s="1"/>
  <c r="J30" i="23" s="1"/>
  <c r="J10" i="26" s="1"/>
  <c r="K7" i="23"/>
  <c r="K13" i="26" s="1"/>
  <c r="K18" i="26"/>
  <c r="L21" i="25"/>
  <c r="K9" i="24"/>
  <c r="K7" i="25" s="1"/>
  <c r="K26" i="23" s="1"/>
  <c r="J10" i="24"/>
  <c r="J14" i="24" s="1"/>
  <c r="I10" i="26"/>
  <c r="D14" i="27"/>
  <c r="D4" i="27" s="1"/>
  <c r="C43" i="27"/>
  <c r="N12" i="25"/>
  <c r="N8" i="26" s="1"/>
  <c r="O25" i="22"/>
  <c r="O12" i="25" s="1"/>
  <c r="M26" i="22"/>
  <c r="L27" i="22"/>
  <c r="K18" i="25"/>
  <c r="K29" i="23" s="1"/>
  <c r="I71" i="28"/>
  <c r="M21" i="22"/>
  <c r="M75" i="27"/>
  <c r="O23" i="22"/>
  <c r="M8" i="26"/>
  <c r="K6" i="25"/>
  <c r="K25" i="23" s="1"/>
  <c r="L22" i="22"/>
  <c r="I10" i="23"/>
  <c r="M13" i="24"/>
  <c r="K15" i="26" l="1"/>
  <c r="K12" i="28" s="1"/>
  <c r="K33" i="23"/>
  <c r="K37" i="23" s="1"/>
  <c r="J22" i="25"/>
  <c r="M84" i="27"/>
  <c r="M96" i="27"/>
  <c r="D70" i="27"/>
  <c r="I72" i="28"/>
  <c r="I96" i="27" s="1"/>
  <c r="J20" i="24"/>
  <c r="L11" i="24"/>
  <c r="L7" i="23"/>
  <c r="L13" i="26" s="1"/>
  <c r="L9" i="24"/>
  <c r="L10" i="24" s="1"/>
  <c r="L8" i="25"/>
  <c r="L27" i="23" s="1"/>
  <c r="L28" i="25"/>
  <c r="L9" i="26" s="1"/>
  <c r="M28" i="22"/>
  <c r="K10" i="24"/>
  <c r="K17" i="25"/>
  <c r="K28" i="23" s="1"/>
  <c r="K30" i="23" s="1"/>
  <c r="L18" i="26"/>
  <c r="M21" i="25"/>
  <c r="D16" i="27"/>
  <c r="C46" i="27"/>
  <c r="N21" i="22"/>
  <c r="M9" i="24"/>
  <c r="M10" i="24" s="1"/>
  <c r="M7" i="23"/>
  <c r="M13" i="26" s="1"/>
  <c r="M11" i="24"/>
  <c r="M8" i="25"/>
  <c r="M27" i="23" s="1"/>
  <c r="J69" i="28"/>
  <c r="J70" i="28" s="1"/>
  <c r="I26" i="25"/>
  <c r="I80" i="27"/>
  <c r="I95" i="27" s="1"/>
  <c r="L18" i="25"/>
  <c r="L29" i="23" s="1"/>
  <c r="M27" i="22"/>
  <c r="I11" i="25"/>
  <c r="J6" i="23"/>
  <c r="I76" i="27"/>
  <c r="I5" i="26"/>
  <c r="I79" i="28" s="1"/>
  <c r="I80" i="28" s="1"/>
  <c r="M22" i="22"/>
  <c r="L6" i="25"/>
  <c r="L25" i="23" s="1"/>
  <c r="O8" i="26"/>
  <c r="N75" i="27"/>
  <c r="N26" i="22"/>
  <c r="O13" i="24"/>
  <c r="N13" i="24"/>
  <c r="M15" i="26" l="1"/>
  <c r="M12" i="28" s="1"/>
  <c r="L15" i="26"/>
  <c r="L12" i="28" s="1"/>
  <c r="L33" i="23"/>
  <c r="L37" i="23" s="1"/>
  <c r="K22" i="25"/>
  <c r="N84" i="27"/>
  <c r="N96" i="27"/>
  <c r="D72" i="27"/>
  <c r="K14" i="24"/>
  <c r="L14" i="24"/>
  <c r="L17" i="25"/>
  <c r="L28" i="23" s="1"/>
  <c r="L7" i="25"/>
  <c r="L26" i="23" s="1"/>
  <c r="N28" i="22"/>
  <c r="M28" i="25"/>
  <c r="M9" i="26" s="1"/>
  <c r="N21" i="25"/>
  <c r="M18" i="26"/>
  <c r="M14" i="24"/>
  <c r="E31" i="25"/>
  <c r="G31" i="25" s="1"/>
  <c r="G22" i="23" s="1"/>
  <c r="H18" i="23" s="1"/>
  <c r="C47" i="27"/>
  <c r="D17" i="27"/>
  <c r="H77" i="27" s="1"/>
  <c r="K10" i="26"/>
  <c r="J9" i="23"/>
  <c r="J22" i="24" s="1"/>
  <c r="J71" i="28"/>
  <c r="M17" i="25"/>
  <c r="M28" i="23" s="1"/>
  <c r="N22" i="22"/>
  <c r="M6" i="25"/>
  <c r="M25" i="23" s="1"/>
  <c r="M18" i="25"/>
  <c r="M29" i="23" s="1"/>
  <c r="N27" i="22"/>
  <c r="N11" i="24"/>
  <c r="N9" i="24"/>
  <c r="N10" i="24" s="1"/>
  <c r="N7" i="23"/>
  <c r="N13" i="26" s="1"/>
  <c r="N8" i="25"/>
  <c r="N27" i="23" s="1"/>
  <c r="M7" i="25"/>
  <c r="M26" i="23" s="1"/>
  <c r="O26" i="22"/>
  <c r="O75" i="27"/>
  <c r="O96" i="27" s="1"/>
  <c r="O21" i="22"/>
  <c r="N15" i="26" l="1"/>
  <c r="N12" i="28" s="1"/>
  <c r="L20" i="24"/>
  <c r="M20" i="24"/>
  <c r="K20" i="24"/>
  <c r="M33" i="23"/>
  <c r="M37" i="23" s="1"/>
  <c r="L22" i="25"/>
  <c r="E13" i="25"/>
  <c r="G13" i="25" s="1"/>
  <c r="J72" i="28"/>
  <c r="J96" i="27" s="1"/>
  <c r="O84" i="27"/>
  <c r="L30" i="23"/>
  <c r="L10" i="26" s="1"/>
  <c r="N14" i="24"/>
  <c r="N28" i="25"/>
  <c r="N9" i="26" s="1"/>
  <c r="O28" i="22"/>
  <c r="N18" i="26"/>
  <c r="O21" i="25"/>
  <c r="C40" i="27"/>
  <c r="C38" i="27" s="1"/>
  <c r="D40" i="27"/>
  <c r="I77" i="27"/>
  <c r="O11" i="24"/>
  <c r="O9" i="24"/>
  <c r="O7" i="23"/>
  <c r="O8" i="25"/>
  <c r="J26" i="25"/>
  <c r="J80" i="27"/>
  <c r="J95" i="27" s="1"/>
  <c r="K69" i="28"/>
  <c r="K70" i="28" s="1"/>
  <c r="N18" i="25"/>
  <c r="N29" i="23" s="1"/>
  <c r="O27" i="22"/>
  <c r="O18" i="25" s="1"/>
  <c r="J23" i="24"/>
  <c r="N7" i="25"/>
  <c r="N26" i="23" s="1"/>
  <c r="N17" i="25"/>
  <c r="N28" i="23" s="1"/>
  <c r="M30" i="23"/>
  <c r="O22" i="22"/>
  <c r="N6" i="25"/>
  <c r="N25" i="23" s="1"/>
  <c r="J10" i="23"/>
  <c r="N20" i="24" l="1"/>
  <c r="N33" i="23"/>
  <c r="N37" i="23" s="1"/>
  <c r="M22" i="25"/>
  <c r="G14" i="25"/>
  <c r="H13" i="25"/>
  <c r="I13" i="25" s="1"/>
  <c r="J13" i="25" s="1"/>
  <c r="K13" i="25" s="1"/>
  <c r="L13" i="25" s="1"/>
  <c r="M13" i="25" s="1"/>
  <c r="N13" i="25" s="1"/>
  <c r="O13" i="25" s="1"/>
  <c r="O18" i="26"/>
  <c r="O27" i="23"/>
  <c r="O29" i="23"/>
  <c r="O13" i="26"/>
  <c r="O15" i="26" s="1"/>
  <c r="O17" i="25"/>
  <c r="D38" i="27"/>
  <c r="C58" i="27" s="1" a="1"/>
  <c r="C60" i="27" s="1"/>
  <c r="E58" i="27" s="1"/>
  <c r="O28" i="25"/>
  <c r="O6" i="25"/>
  <c r="O10" i="24"/>
  <c r="O7" i="25"/>
  <c r="K71" i="28"/>
  <c r="J76" i="27"/>
  <c r="J77" i="27" s="1"/>
  <c r="J5" i="26"/>
  <c r="J79" i="28" s="1"/>
  <c r="J80" i="28" s="1"/>
  <c r="J11" i="25"/>
  <c r="K6" i="23"/>
  <c r="N30" i="23"/>
  <c r="N10" i="26" s="1"/>
  <c r="M10" i="26"/>
  <c r="O33" i="23" l="1"/>
  <c r="O37" i="23" s="1"/>
  <c r="O22" i="25" s="1"/>
  <c r="N22" i="25"/>
  <c r="K72" i="28"/>
  <c r="K96" i="27" s="1"/>
  <c r="O9" i="26"/>
  <c r="O26" i="23"/>
  <c r="O14" i="24"/>
  <c r="O28" i="23"/>
  <c r="O25" i="23"/>
  <c r="G15" i="23"/>
  <c r="H13" i="23" s="1"/>
  <c r="H14" i="23" s="1"/>
  <c r="H19" i="23" s="1"/>
  <c r="F27" i="25"/>
  <c r="G27" i="25" s="1"/>
  <c r="G29" i="25" s="1"/>
  <c r="G32" i="25" s="1"/>
  <c r="G34" i="25" s="1"/>
  <c r="G87" i="27"/>
  <c r="G90" i="27" s="1"/>
  <c r="E54" i="27"/>
  <c r="E55" i="27"/>
  <c r="E59" i="27"/>
  <c r="E57" i="27"/>
  <c r="E56" i="27"/>
  <c r="K26" i="25"/>
  <c r="K80" i="27"/>
  <c r="K95" i="27" s="1"/>
  <c r="L69" i="28"/>
  <c r="L70" i="28" s="1"/>
  <c r="K9" i="23"/>
  <c r="K22" i="24" s="1"/>
  <c r="K23" i="24" s="1"/>
  <c r="O20" i="24" l="1"/>
  <c r="O30" i="23"/>
  <c r="O12" i="28"/>
  <c r="H15" i="23"/>
  <c r="H27" i="25" s="1"/>
  <c r="E60" i="27"/>
  <c r="K10" i="23"/>
  <c r="K76" i="27"/>
  <c r="K77" i="27" s="1"/>
  <c r="K5" i="26"/>
  <c r="K79" i="28" s="1"/>
  <c r="K80" i="28" s="1"/>
  <c r="L71" i="28"/>
  <c r="L72" i="28" l="1"/>
  <c r="L96" i="27" s="1"/>
  <c r="O10" i="26"/>
  <c r="I13" i="23"/>
  <c r="I14" i="23" s="1"/>
  <c r="I19" i="23" s="1"/>
  <c r="H79" i="27"/>
  <c r="H87" i="27" s="1"/>
  <c r="L26" i="25"/>
  <c r="M69" i="28"/>
  <c r="M70" i="28" s="1"/>
  <c r="L80" i="27"/>
  <c r="L95" i="27" s="1"/>
  <c r="K11" i="25"/>
  <c r="L6" i="23"/>
  <c r="I15" i="23" l="1"/>
  <c r="J13" i="23" s="1"/>
  <c r="J14" i="23" s="1"/>
  <c r="J19" i="23" s="1"/>
  <c r="M71" i="28"/>
  <c r="L9" i="23"/>
  <c r="L22" i="24" s="1"/>
  <c r="L23" i="24" s="1"/>
  <c r="M72" i="28" l="1"/>
  <c r="I79" i="27"/>
  <c r="I87" i="27" s="1"/>
  <c r="J15" i="23"/>
  <c r="K13" i="23" s="1"/>
  <c r="I27" i="25"/>
  <c r="L5" i="26"/>
  <c r="L76" i="27"/>
  <c r="L77" i="27" s="1"/>
  <c r="L10" i="23"/>
  <c r="M80" i="27"/>
  <c r="M95" i="27" s="1"/>
  <c r="N69" i="28"/>
  <c r="N70" i="28" s="1"/>
  <c r="M26" i="25"/>
  <c r="J79" i="27" l="1"/>
  <c r="J87" i="27" s="1"/>
  <c r="J27" i="25"/>
  <c r="M6" i="23"/>
  <c r="L11" i="25"/>
  <c r="K14" i="23"/>
  <c r="K19" i="23" s="1"/>
  <c r="L79" i="28"/>
  <c r="N71" i="28" l="1"/>
  <c r="K15" i="23"/>
  <c r="L80" i="28"/>
  <c r="M9" i="23"/>
  <c r="M22" i="24" s="1"/>
  <c r="M23" i="24" s="1"/>
  <c r="N72" i="28" l="1"/>
  <c r="M5" i="26"/>
  <c r="M76" i="27"/>
  <c r="M77" i="27" s="1"/>
  <c r="L13" i="23"/>
  <c r="K79" i="27"/>
  <c r="K87" i="27" s="1"/>
  <c r="K27" i="25"/>
  <c r="M10" i="23"/>
  <c r="N80" i="27"/>
  <c r="N95" i="27" s="1"/>
  <c r="O69" i="28"/>
  <c r="O70" i="28" s="1"/>
  <c r="N26" i="25"/>
  <c r="N6" i="23" l="1"/>
  <c r="M11" i="25"/>
  <c r="L14" i="23"/>
  <c r="L19" i="23" s="1"/>
  <c r="M79" i="28"/>
  <c r="L15" i="23" l="1"/>
  <c r="L79" i="27" s="1"/>
  <c r="L87" i="27" s="1"/>
  <c r="O71" i="28"/>
  <c r="O72" i="28" s="1"/>
  <c r="M80" i="28"/>
  <c r="N9" i="23"/>
  <c r="N22" i="24" s="1"/>
  <c r="N23" i="24" s="1"/>
  <c r="N10" i="23" l="1"/>
  <c r="M13" i="23"/>
  <c r="M14" i="23" s="1"/>
  <c r="M19" i="23" s="1"/>
  <c r="L27" i="25"/>
  <c r="O80" i="27"/>
  <c r="O26" i="25"/>
  <c r="N76" i="27"/>
  <c r="N77" i="27" s="1"/>
  <c r="N5" i="26"/>
  <c r="O6" i="23" l="1"/>
  <c r="O9" i="23" s="1"/>
  <c r="O95" i="27"/>
  <c r="N11" i="25"/>
  <c r="M15" i="23"/>
  <c r="N13" i="23" s="1"/>
  <c r="N79" i="28"/>
  <c r="O22" i="24" l="1"/>
  <c r="M27" i="25"/>
  <c r="M79" i="27"/>
  <c r="M87" i="27" s="1"/>
  <c r="N14" i="23"/>
  <c r="N19" i="23" s="1"/>
  <c r="N80" i="28"/>
  <c r="O10" i="23"/>
  <c r="O11" i="25" l="1"/>
  <c r="O23" i="24"/>
  <c r="N15" i="23"/>
  <c r="O13" i="23" s="1"/>
  <c r="O5" i="26" l="1"/>
  <c r="O76" i="27"/>
  <c r="N79" i="27"/>
  <c r="N87" i="27" s="1"/>
  <c r="N27" i="25"/>
  <c r="O14" i="23"/>
  <c r="O77" i="27" l="1"/>
  <c r="O79" i="28"/>
  <c r="O19" i="23"/>
  <c r="O15" i="23"/>
  <c r="O80" i="28" l="1"/>
  <c r="O27" i="25"/>
  <c r="O79" i="27"/>
  <c r="O87" i="27" l="1"/>
  <c r="L40" i="28" l="1"/>
  <c r="L53" i="28" s="1"/>
  <c r="L104" i="27" s="1"/>
  <c r="M40" i="28"/>
  <c r="M53" i="28" s="1"/>
  <c r="M104" i="27" s="1"/>
  <c r="N40" i="28"/>
  <c r="N53" i="28" s="1"/>
  <c r="N104" i="27" s="1"/>
  <c r="I40" i="28"/>
  <c r="I53" i="28" s="1"/>
  <c r="I104" i="27" s="1"/>
  <c r="K40" i="28"/>
  <c r="K53" i="28" s="1"/>
  <c r="K104" i="27" s="1"/>
  <c r="M21" i="26" l="1"/>
  <c r="M20" i="23"/>
  <c r="M88" i="27"/>
  <c r="L21" i="26"/>
  <c r="L20" i="23"/>
  <c r="L88" i="27"/>
  <c r="K21" i="26"/>
  <c r="K20" i="23"/>
  <c r="K88" i="27"/>
  <c r="I21" i="26"/>
  <c r="I20" i="23"/>
  <c r="I88" i="27"/>
  <c r="N21" i="26"/>
  <c r="N20" i="23"/>
  <c r="N88" i="27"/>
  <c r="H5" i="25"/>
  <c r="I5" i="25"/>
  <c r="J5" i="25"/>
  <c r="K5" i="25"/>
  <c r="L5" i="25"/>
  <c r="M5" i="25"/>
  <c r="N5" i="25"/>
  <c r="O5" i="25"/>
  <c r="H9" i="25"/>
  <c r="I9" i="25"/>
  <c r="J9" i="25"/>
  <c r="K9" i="25"/>
  <c r="L9" i="25"/>
  <c r="M9" i="25"/>
  <c r="N9" i="25"/>
  <c r="O9" i="25"/>
  <c r="H14" i="25"/>
  <c r="I14" i="25"/>
  <c r="J14" i="25"/>
  <c r="K14" i="25"/>
  <c r="L14" i="25"/>
  <c r="M14" i="25"/>
  <c r="N14" i="25"/>
  <c r="O14" i="25"/>
  <c r="H16" i="25"/>
  <c r="I16" i="25"/>
  <c r="J16" i="25"/>
  <c r="K16" i="25"/>
  <c r="L16" i="25"/>
  <c r="M16" i="25"/>
  <c r="N16" i="25"/>
  <c r="O16" i="25"/>
  <c r="H19" i="25"/>
  <c r="I19" i="25"/>
  <c r="J19" i="25"/>
  <c r="K19" i="25"/>
  <c r="L19" i="25"/>
  <c r="M19" i="25"/>
  <c r="N19" i="25"/>
  <c r="O19" i="25"/>
  <c r="H23" i="25"/>
  <c r="I23" i="25"/>
  <c r="J23" i="25"/>
  <c r="K23" i="25"/>
  <c r="L23" i="25"/>
  <c r="M23" i="25"/>
  <c r="N23" i="25"/>
  <c r="O23" i="25"/>
  <c r="H24" i="25"/>
  <c r="I24" i="25"/>
  <c r="J24" i="25"/>
  <c r="K24" i="25"/>
  <c r="L24" i="25"/>
  <c r="M24" i="25"/>
  <c r="N24" i="25"/>
  <c r="O24" i="25"/>
  <c r="H25" i="25"/>
  <c r="I25" i="25"/>
  <c r="J25" i="25"/>
  <c r="K25" i="25"/>
  <c r="L25" i="25"/>
  <c r="M25" i="25"/>
  <c r="N25" i="25"/>
  <c r="O25" i="25"/>
  <c r="H29" i="25"/>
  <c r="I29" i="25"/>
  <c r="J29" i="25"/>
  <c r="K29" i="25"/>
  <c r="L29" i="25"/>
  <c r="M29" i="25"/>
  <c r="N29" i="25"/>
  <c r="O29" i="25"/>
  <c r="H31" i="25"/>
  <c r="I31" i="25"/>
  <c r="J31" i="25"/>
  <c r="K31" i="25"/>
  <c r="L31" i="25"/>
  <c r="M31" i="25"/>
  <c r="N31" i="25"/>
  <c r="O31" i="25"/>
  <c r="H32" i="25"/>
  <c r="I32" i="25"/>
  <c r="J32" i="25"/>
  <c r="K32" i="25"/>
  <c r="L32" i="25"/>
  <c r="M32" i="25"/>
  <c r="N32" i="25"/>
  <c r="O32" i="25"/>
  <c r="H34" i="25"/>
  <c r="I34" i="25"/>
  <c r="J34" i="25"/>
  <c r="K34" i="25"/>
  <c r="L34" i="25"/>
  <c r="M34" i="25"/>
  <c r="N34" i="25"/>
  <c r="O34" i="25"/>
  <c r="I18" i="23"/>
  <c r="J18" i="23"/>
  <c r="K18" i="23"/>
  <c r="L18" i="23"/>
  <c r="M18" i="23"/>
  <c r="N18" i="23"/>
  <c r="O18" i="23"/>
  <c r="J20" i="23"/>
  <c r="H21" i="23"/>
  <c r="I21" i="23"/>
  <c r="J21" i="23"/>
  <c r="K21" i="23"/>
  <c r="L21" i="23"/>
  <c r="M21" i="23"/>
  <c r="N21" i="23"/>
  <c r="O21" i="23"/>
  <c r="H22" i="23"/>
  <c r="I22" i="23"/>
  <c r="J22" i="23"/>
  <c r="K22" i="23"/>
  <c r="L22" i="23"/>
  <c r="M22" i="23"/>
  <c r="N22" i="23"/>
  <c r="O22" i="23"/>
  <c r="H6" i="26"/>
  <c r="I6" i="26"/>
  <c r="J6" i="26"/>
  <c r="K6" i="26"/>
  <c r="L6" i="26"/>
  <c r="M6" i="26"/>
  <c r="N6" i="26"/>
  <c r="O6" i="26"/>
  <c r="H7" i="26"/>
  <c r="I7" i="26"/>
  <c r="J7" i="26"/>
  <c r="K7" i="26"/>
  <c r="L7" i="26"/>
  <c r="M7" i="26"/>
  <c r="N7" i="26"/>
  <c r="O7" i="26"/>
  <c r="H11" i="26"/>
  <c r="I11" i="26"/>
  <c r="J11" i="26"/>
  <c r="K11" i="26"/>
  <c r="L11" i="26"/>
  <c r="M11" i="26"/>
  <c r="N11" i="26"/>
  <c r="O11" i="26"/>
  <c r="H17" i="26"/>
  <c r="I17" i="26"/>
  <c r="J17" i="26"/>
  <c r="K17" i="26"/>
  <c r="L17" i="26"/>
  <c r="M17" i="26"/>
  <c r="N17" i="26"/>
  <c r="O17" i="26"/>
  <c r="H19" i="26"/>
  <c r="I19" i="26"/>
  <c r="J19" i="26"/>
  <c r="K19" i="26"/>
  <c r="L19" i="26"/>
  <c r="M19" i="26"/>
  <c r="N19" i="26"/>
  <c r="O19" i="26"/>
  <c r="H20" i="26"/>
  <c r="I20" i="26"/>
  <c r="J20" i="26"/>
  <c r="K20" i="26"/>
  <c r="L20" i="26"/>
  <c r="M20" i="26"/>
  <c r="N20" i="26"/>
  <c r="O20" i="26"/>
  <c r="J21" i="26"/>
  <c r="H22" i="26"/>
  <c r="I22" i="26"/>
  <c r="J22" i="26"/>
  <c r="K22" i="26"/>
  <c r="L22" i="26"/>
  <c r="M22" i="26"/>
  <c r="N22" i="26"/>
  <c r="O22" i="26"/>
  <c r="H23" i="26"/>
  <c r="I23" i="26"/>
  <c r="J23" i="26"/>
  <c r="K23" i="26"/>
  <c r="L23" i="26"/>
  <c r="M23" i="26"/>
  <c r="N23" i="26"/>
  <c r="O23" i="26"/>
  <c r="I25" i="26"/>
  <c r="J25" i="26"/>
  <c r="K25" i="26"/>
  <c r="L25" i="26"/>
  <c r="M25" i="26"/>
  <c r="N25" i="26"/>
  <c r="O25" i="26"/>
  <c r="H26" i="26"/>
  <c r="I26" i="26"/>
  <c r="J26" i="26"/>
  <c r="K26" i="26"/>
  <c r="L26" i="26"/>
  <c r="M26" i="26"/>
  <c r="N26" i="26"/>
  <c r="O26" i="26"/>
  <c r="H27" i="26"/>
  <c r="I27" i="26"/>
  <c r="J27" i="26"/>
  <c r="K27" i="26"/>
  <c r="L27" i="26"/>
  <c r="M27" i="26"/>
  <c r="N27" i="26"/>
  <c r="O27" i="26"/>
  <c r="I10" i="28"/>
  <c r="J10" i="28"/>
  <c r="K10" i="28"/>
  <c r="L10" i="28"/>
  <c r="M10" i="28"/>
  <c r="N10" i="28"/>
  <c r="O10" i="28"/>
  <c r="H11" i="28"/>
  <c r="I11" i="28"/>
  <c r="J11" i="28"/>
  <c r="K11" i="28"/>
  <c r="L11" i="28"/>
  <c r="M11" i="28"/>
  <c r="N11" i="28"/>
  <c r="O11" i="28"/>
  <c r="H13" i="28"/>
  <c r="I13" i="28"/>
  <c r="J13" i="28"/>
  <c r="K13" i="28"/>
  <c r="L13" i="28"/>
  <c r="M13" i="28"/>
  <c r="N13" i="28"/>
  <c r="O13" i="28"/>
  <c r="I16" i="28"/>
  <c r="J16" i="28"/>
  <c r="K16" i="28"/>
  <c r="L16" i="28"/>
  <c r="M16" i="28"/>
  <c r="N16" i="28"/>
  <c r="O16" i="28"/>
  <c r="I17" i="28"/>
  <c r="J17" i="28"/>
  <c r="K17" i="28"/>
  <c r="L17" i="28"/>
  <c r="M17" i="28"/>
  <c r="N17" i="28"/>
  <c r="O17" i="28"/>
  <c r="H18" i="28"/>
  <c r="I18" i="28"/>
  <c r="J18" i="28"/>
  <c r="K18" i="28"/>
  <c r="L18" i="28"/>
  <c r="M18" i="28"/>
  <c r="N18" i="28"/>
  <c r="O18" i="28"/>
  <c r="I21" i="28"/>
  <c r="J21" i="28"/>
  <c r="K21" i="28"/>
  <c r="L21" i="28"/>
  <c r="M21" i="28"/>
  <c r="N21" i="28"/>
  <c r="O21" i="28"/>
  <c r="H22" i="28"/>
  <c r="I22" i="28"/>
  <c r="J22" i="28"/>
  <c r="K22" i="28"/>
  <c r="L22" i="28"/>
  <c r="M22" i="28"/>
  <c r="N22" i="28"/>
  <c r="O22" i="28"/>
  <c r="H23" i="28"/>
  <c r="I23" i="28"/>
  <c r="J23" i="28"/>
  <c r="K23" i="28"/>
  <c r="L23" i="28"/>
  <c r="M23" i="28"/>
  <c r="N23" i="28"/>
  <c r="O23" i="28"/>
  <c r="H24" i="28"/>
  <c r="I24" i="28"/>
  <c r="J24" i="28"/>
  <c r="K24" i="28"/>
  <c r="L24" i="28"/>
  <c r="M24" i="28"/>
  <c r="N24" i="28"/>
  <c r="O24" i="28"/>
  <c r="H27" i="28"/>
  <c r="I27" i="28"/>
  <c r="J27" i="28"/>
  <c r="K27" i="28"/>
  <c r="L27" i="28"/>
  <c r="M27" i="28"/>
  <c r="N27" i="28"/>
  <c r="O27" i="28"/>
  <c r="H28" i="28"/>
  <c r="I28" i="28"/>
  <c r="J28" i="28"/>
  <c r="K28" i="28"/>
  <c r="L28" i="28"/>
  <c r="M28" i="28"/>
  <c r="N28" i="28"/>
  <c r="O28" i="28"/>
  <c r="H29" i="28"/>
  <c r="I29" i="28"/>
  <c r="J29" i="28"/>
  <c r="K29" i="28"/>
  <c r="L29" i="28"/>
  <c r="M29" i="28"/>
  <c r="N29" i="28"/>
  <c r="O29" i="28"/>
  <c r="H30" i="28"/>
  <c r="I30" i="28"/>
  <c r="J30" i="28"/>
  <c r="K30" i="28"/>
  <c r="L30" i="28"/>
  <c r="M30" i="28"/>
  <c r="N30" i="28"/>
  <c r="O30" i="28"/>
  <c r="H32" i="28"/>
  <c r="I32" i="28"/>
  <c r="J32" i="28"/>
  <c r="K32" i="28"/>
  <c r="L32" i="28"/>
  <c r="M32" i="28"/>
  <c r="N32" i="28"/>
  <c r="O32" i="28"/>
  <c r="I39" i="28"/>
  <c r="J39" i="28"/>
  <c r="K39" i="28"/>
  <c r="L39" i="28"/>
  <c r="M39" i="28"/>
  <c r="N39" i="28"/>
  <c r="O39" i="28"/>
  <c r="J40" i="28"/>
  <c r="I41" i="28"/>
  <c r="J41" i="28"/>
  <c r="K41" i="28"/>
  <c r="L41" i="28"/>
  <c r="M41" i="28"/>
  <c r="N41" i="28"/>
  <c r="O41" i="28"/>
  <c r="H42" i="28"/>
  <c r="I42" i="28"/>
  <c r="J42" i="28"/>
  <c r="K42" i="28"/>
  <c r="L42" i="28"/>
  <c r="M42" i="28"/>
  <c r="N42" i="28"/>
  <c r="O42" i="28"/>
  <c r="H43" i="28"/>
  <c r="I43" i="28"/>
  <c r="J43" i="28"/>
  <c r="K43" i="28"/>
  <c r="L43" i="28"/>
  <c r="M43" i="28"/>
  <c r="N43" i="28"/>
  <c r="O43" i="28"/>
  <c r="H44" i="28"/>
  <c r="I44" i="28"/>
  <c r="J44" i="28"/>
  <c r="K44" i="28"/>
  <c r="L44" i="28"/>
  <c r="M44" i="28"/>
  <c r="N44" i="28"/>
  <c r="O44" i="28"/>
  <c r="I47" i="28"/>
  <c r="J47" i="28"/>
  <c r="K47" i="28"/>
  <c r="L47" i="28"/>
  <c r="M47" i="28"/>
  <c r="N47" i="28"/>
  <c r="O47" i="28"/>
  <c r="H49" i="28"/>
  <c r="I49" i="28"/>
  <c r="J49" i="28"/>
  <c r="K49" i="28"/>
  <c r="L49" i="28"/>
  <c r="M49" i="28"/>
  <c r="N49" i="28"/>
  <c r="O49" i="28"/>
  <c r="H50" i="28"/>
  <c r="I50" i="28"/>
  <c r="J50" i="28"/>
  <c r="K50" i="28"/>
  <c r="L50" i="28"/>
  <c r="M50" i="28"/>
  <c r="N50" i="28"/>
  <c r="O50" i="28"/>
  <c r="H51" i="28"/>
  <c r="I51" i="28"/>
  <c r="J51" i="28"/>
  <c r="K51" i="28"/>
  <c r="L51" i="28"/>
  <c r="M51" i="28"/>
  <c r="N51" i="28"/>
  <c r="O51" i="28"/>
  <c r="J53" i="28"/>
  <c r="H55" i="28"/>
  <c r="I55" i="28"/>
  <c r="J55" i="28"/>
  <c r="K55" i="28"/>
  <c r="L55" i="28"/>
  <c r="M55" i="28"/>
  <c r="N55" i="28"/>
  <c r="O55" i="28"/>
  <c r="I58" i="28"/>
  <c r="J58" i="28"/>
  <c r="K58" i="28"/>
  <c r="L58" i="28"/>
  <c r="M58" i="28"/>
  <c r="N58" i="28"/>
  <c r="O58" i="28"/>
  <c r="I59" i="28"/>
  <c r="J59" i="28"/>
  <c r="K59" i="28"/>
  <c r="L59" i="28"/>
  <c r="M59" i="28"/>
  <c r="N59" i="28"/>
  <c r="O59" i="28"/>
  <c r="H60" i="28"/>
  <c r="I60" i="28"/>
  <c r="J60" i="28"/>
  <c r="K60" i="28"/>
  <c r="L60" i="28"/>
  <c r="M60" i="28"/>
  <c r="N60" i="28"/>
  <c r="O60" i="28"/>
  <c r="H61" i="28"/>
  <c r="I61" i="28"/>
  <c r="J61" i="28"/>
  <c r="K61" i="28"/>
  <c r="L61" i="28"/>
  <c r="M61" i="28"/>
  <c r="N61" i="28"/>
  <c r="O61" i="28"/>
  <c r="H62" i="28"/>
  <c r="I62" i="28"/>
  <c r="J62" i="28"/>
  <c r="K62" i="28"/>
  <c r="L62" i="28"/>
  <c r="M62" i="28"/>
  <c r="N62" i="28"/>
  <c r="O62" i="28"/>
  <c r="H74" i="28"/>
  <c r="I74" i="28"/>
  <c r="J74" i="28"/>
  <c r="K74" i="28"/>
  <c r="L74" i="28"/>
  <c r="M74" i="28"/>
  <c r="N74" i="28"/>
  <c r="O74" i="28"/>
  <c r="H75" i="28"/>
  <c r="I75" i="28"/>
  <c r="J75" i="28"/>
  <c r="K75" i="28"/>
  <c r="L75" i="28"/>
  <c r="M75" i="28"/>
  <c r="N75" i="28"/>
  <c r="O75" i="28"/>
  <c r="H81" i="28"/>
  <c r="I81" i="28"/>
  <c r="J81" i="28"/>
  <c r="K81" i="28"/>
  <c r="L81" i="28"/>
  <c r="M81" i="28"/>
  <c r="N81" i="28"/>
  <c r="O81" i="28"/>
  <c r="H83" i="28"/>
  <c r="I83" i="28"/>
  <c r="J83" i="28"/>
  <c r="K83" i="28"/>
  <c r="L83" i="28"/>
  <c r="M83" i="28"/>
  <c r="N83" i="28"/>
  <c r="O83" i="28"/>
  <c r="H84" i="28"/>
  <c r="I84" i="28"/>
  <c r="J84" i="28"/>
  <c r="K84" i="28"/>
  <c r="L84" i="28"/>
  <c r="M84" i="28"/>
  <c r="N84" i="28"/>
  <c r="O84" i="28"/>
  <c r="H85" i="28"/>
  <c r="I85" i="28"/>
  <c r="J85" i="28"/>
  <c r="K85" i="28"/>
  <c r="L85" i="28"/>
  <c r="M85" i="28"/>
  <c r="N85" i="28"/>
  <c r="O85" i="28"/>
  <c r="H86" i="28"/>
  <c r="I86" i="28"/>
  <c r="J86" i="28"/>
  <c r="K86" i="28"/>
  <c r="L86" i="28"/>
  <c r="M86" i="28"/>
  <c r="N86" i="28"/>
  <c r="O86" i="28"/>
  <c r="H87" i="28"/>
  <c r="I87" i="28"/>
  <c r="J87" i="28"/>
  <c r="K87" i="28"/>
  <c r="L87" i="28"/>
  <c r="M87" i="28"/>
  <c r="N87" i="28"/>
  <c r="O87" i="28"/>
  <c r="H15" i="24"/>
  <c r="I15" i="24"/>
  <c r="J15" i="24"/>
  <c r="K15" i="24"/>
  <c r="L15" i="24"/>
  <c r="M15" i="24"/>
  <c r="N15" i="24"/>
  <c r="O15" i="24"/>
  <c r="H16" i="24"/>
  <c r="I16" i="24"/>
  <c r="J16" i="24"/>
  <c r="K16" i="24"/>
  <c r="L16" i="24"/>
  <c r="M16" i="24"/>
  <c r="N16" i="24"/>
  <c r="O16" i="24"/>
  <c r="H17" i="24"/>
  <c r="I17" i="24"/>
  <c r="J17" i="24"/>
  <c r="K17" i="24"/>
  <c r="L17" i="24"/>
  <c r="M17" i="24"/>
  <c r="N17" i="24"/>
  <c r="O17" i="24"/>
  <c r="H18" i="24"/>
  <c r="I18" i="24"/>
  <c r="J18" i="24"/>
  <c r="K18" i="24"/>
  <c r="L18" i="24"/>
  <c r="M18" i="24"/>
  <c r="N18" i="24"/>
  <c r="O18" i="24"/>
  <c r="H78" i="27"/>
  <c r="I78" i="27"/>
  <c r="J78" i="27"/>
  <c r="K78" i="27"/>
  <c r="L78" i="27"/>
  <c r="M78" i="27"/>
  <c r="N78" i="27"/>
  <c r="O78" i="27"/>
  <c r="H81" i="27"/>
  <c r="I81" i="27"/>
  <c r="J81" i="27"/>
  <c r="K81" i="27"/>
  <c r="L81" i="27"/>
  <c r="M81" i="27"/>
  <c r="N81" i="27"/>
  <c r="O81" i="27"/>
  <c r="H82" i="27"/>
  <c r="I82" i="27"/>
  <c r="J82" i="27"/>
  <c r="K82" i="27"/>
  <c r="L82" i="27"/>
  <c r="M82" i="27"/>
  <c r="N82" i="27"/>
  <c r="O82" i="27"/>
  <c r="J88" i="27"/>
  <c r="H89" i="27"/>
  <c r="I89" i="27"/>
  <c r="J89" i="27"/>
  <c r="K89" i="27"/>
  <c r="L89" i="27"/>
  <c r="M89" i="27"/>
  <c r="N89" i="27"/>
  <c r="O89" i="27"/>
  <c r="H90" i="27"/>
  <c r="I90" i="27"/>
  <c r="J90" i="27"/>
  <c r="K90" i="27"/>
  <c r="L90" i="27"/>
  <c r="M90" i="27"/>
  <c r="N90" i="27"/>
  <c r="O90" i="27"/>
  <c r="G91" i="27"/>
  <c r="G92" i="27"/>
  <c r="H97" i="27"/>
  <c r="I97" i="27"/>
  <c r="J97" i="27"/>
  <c r="K97" i="27"/>
  <c r="L97" i="27"/>
  <c r="M97" i="27"/>
  <c r="N97" i="27"/>
  <c r="O97" i="27"/>
  <c r="H98" i="27"/>
  <c r="I98" i="27"/>
  <c r="J98" i="27"/>
  <c r="K98" i="27"/>
  <c r="L98" i="27"/>
  <c r="M98" i="27"/>
  <c r="N98" i="27"/>
  <c r="O98" i="27"/>
  <c r="G99" i="27"/>
  <c r="G100" i="27"/>
  <c r="H103" i="27"/>
  <c r="I103" i="27"/>
  <c r="J103" i="27"/>
  <c r="K103" i="27"/>
  <c r="L103" i="27"/>
  <c r="M103" i="27"/>
  <c r="N103" i="27"/>
  <c r="O103" i="27"/>
  <c r="J104" i="27"/>
  <c r="H105" i="27"/>
  <c r="I105" i="27"/>
  <c r="J105" i="27"/>
  <c r="K105" i="27"/>
  <c r="L105" i="27"/>
  <c r="M105" i="27"/>
  <c r="N105" i="27"/>
  <c r="O105" i="27"/>
  <c r="G106" i="27"/>
  <c r="G107" i="27"/>
  <c r="C112" i="27"/>
  <c r="D120" i="27"/>
  <c r="E120" i="27"/>
  <c r="F120" i="27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Financial Edge</author>
  </authors>
  <commentList>
    <comment ref="D22" authorId="0" shapeId="0" xr:uid="{5C7252DF-C897-48AF-B319-BF2854532C6B}">
      <text>
        <r>
          <rPr>
            <b/>
            <sz val="9"/>
            <color indexed="81"/>
            <rFont val="Tahoma"/>
            <family val="2"/>
          </rPr>
          <t>Financial Edge:</t>
        </r>
        <r>
          <rPr>
            <sz val="9"/>
            <color indexed="81"/>
            <rFont val="Tahoma"/>
            <family val="2"/>
          </rPr>
          <t xml:space="preserve">
Margin improvement run rate is a single cell to be controlled by data tables. It controls the input tab 3rd year improvements.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Financial Edge</author>
  </authors>
  <commentList>
    <comment ref="K8" authorId="0" shapeId="0" xr:uid="{0D58BE62-A247-449D-9EF6-2F0E417678E9}">
      <text>
        <r>
          <rPr>
            <b/>
            <sz val="9"/>
            <color indexed="81"/>
            <rFont val="Tahoma"/>
            <family val="2"/>
          </rPr>
          <t>Financial Edge:</t>
        </r>
        <r>
          <rPr>
            <sz val="9"/>
            <color indexed="81"/>
            <rFont val="Tahoma"/>
            <family val="2"/>
          </rPr>
          <t xml:space="preserve">
Factset estimates</t>
        </r>
      </text>
    </comment>
    <comment ref="J11" authorId="0" shapeId="0" xr:uid="{CDE7FC5E-286C-43F7-9BFC-C73FC6216E85}">
      <text>
        <r>
          <rPr>
            <b/>
            <sz val="9"/>
            <color indexed="81"/>
            <rFont val="Tahoma"/>
            <family val="2"/>
          </rPr>
          <t>Financial Edge:</t>
        </r>
        <r>
          <rPr>
            <sz val="9"/>
            <color indexed="81"/>
            <rFont val="Tahoma"/>
            <family val="2"/>
          </rPr>
          <t xml:space="preserve">
Factset estimates</t>
        </r>
      </text>
    </comment>
    <comment ref="J12" authorId="0" shapeId="0" xr:uid="{144E7629-61A0-421C-955D-E8E93707A975}">
      <text>
        <r>
          <rPr>
            <b/>
            <sz val="9"/>
            <color indexed="81"/>
            <rFont val="Tahoma"/>
            <family val="2"/>
          </rPr>
          <t>Financial Edge:</t>
        </r>
        <r>
          <rPr>
            <sz val="9"/>
            <color indexed="81"/>
            <rFont val="Tahoma"/>
            <family val="2"/>
          </rPr>
          <t xml:space="preserve">
Factset estimates</t>
        </r>
      </text>
    </comment>
    <comment ref="K18" authorId="0" shapeId="0" xr:uid="{59DA29ED-2E90-42CA-A2B6-FB3D691A8396}">
      <text>
        <r>
          <rPr>
            <b/>
            <sz val="9"/>
            <color indexed="81"/>
            <rFont val="Tahoma"/>
            <family val="2"/>
          </rPr>
          <t>Financial Edge:</t>
        </r>
        <r>
          <rPr>
            <sz val="9"/>
            <color indexed="81"/>
            <rFont val="Tahoma"/>
            <family val="2"/>
          </rPr>
          <t xml:space="preserve">
Factset estimates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<sst xmlns="http://schemas.openxmlformats.org/spreadsheetml/2006/main" count="419" uniqueCount="255">
  <si>
    <t>Hologic LBO model</t>
  </si>
  <si>
    <t>This document is for training purposes only. Financial Edge accepts no responsibility or liability for any other purpose or usage.</t>
  </si>
  <si>
    <t>© 2016 Financial Edge Training</t>
  </si>
  <si>
    <t>Hologic LBO</t>
  </si>
  <si>
    <t>Features</t>
  </si>
  <si>
    <t>Model Details</t>
  </si>
  <si>
    <t>◦</t>
  </si>
  <si>
    <t>LBO Model</t>
  </si>
  <si>
    <t>Consolidation</t>
  </si>
  <si>
    <t>Target</t>
  </si>
  <si>
    <t>Hologic</t>
  </si>
  <si>
    <t>Financing package scenarios</t>
  </si>
  <si>
    <t>Acquisition date</t>
  </si>
  <si>
    <t>Revolver commitment fee</t>
  </si>
  <si>
    <t>Last target year end</t>
  </si>
  <si>
    <t>Bank and base case assumptions</t>
  </si>
  <si>
    <t>Units</t>
  </si>
  <si>
    <t>Millions $</t>
  </si>
  <si>
    <t>Analyst Name</t>
  </si>
  <si>
    <t>Firstname Lastname</t>
  </si>
  <si>
    <t>Circular Switch</t>
  </si>
  <si>
    <t>Tab Structure</t>
  </si>
  <si>
    <t>Formatting</t>
  </si>
  <si>
    <t>Input</t>
  </si>
  <si>
    <t>Hard coded</t>
  </si>
  <si>
    <t>Formulas</t>
  </si>
  <si>
    <t>Figures in MMs</t>
  </si>
  <si>
    <t>Hist.</t>
  </si>
  <si>
    <t>Proj.</t>
  </si>
  <si>
    <t>Accounting</t>
  </si>
  <si>
    <t>Financing</t>
  </si>
  <si>
    <t>Combo</t>
  </si>
  <si>
    <t>Hologic entry EV/revenue</t>
  </si>
  <si>
    <t>Key assumptions</t>
  </si>
  <si>
    <t>Share price</t>
  </si>
  <si>
    <t>Premium</t>
  </si>
  <si>
    <t>Bolt ons</t>
  </si>
  <si>
    <t>Acquisition share price</t>
  </si>
  <si>
    <t>Capex</t>
  </si>
  <si>
    <t>Basic shares outstanding</t>
  </si>
  <si>
    <t>EV/revenue</t>
  </si>
  <si>
    <t>Dilution adjustment</t>
  </si>
  <si>
    <t>Revenue</t>
  </si>
  <si>
    <t>Diluted shares outstanding</t>
  </si>
  <si>
    <t>Acquisition equity value</t>
  </si>
  <si>
    <t>Year of ownership</t>
  </si>
  <si>
    <t>Net debt</t>
  </si>
  <si>
    <t>Revenue growth</t>
  </si>
  <si>
    <t>Acquisition EV</t>
  </si>
  <si>
    <t>Op costs % revenue</t>
  </si>
  <si>
    <t>Historic EBITDA</t>
  </si>
  <si>
    <t>Entry EV/historic EBITDA</t>
  </si>
  <si>
    <t>Bolt on 1 rev</t>
  </si>
  <si>
    <t>Exit EV/historic EBITDA</t>
  </si>
  <si>
    <t>Bolt on 2 rev</t>
  </si>
  <si>
    <t>Fees % EV</t>
  </si>
  <si>
    <t>Total</t>
  </si>
  <si>
    <t>SOFR</t>
  </si>
  <si>
    <t>Exit year</t>
  </si>
  <si>
    <t>Bolt on 1 costs</t>
  </si>
  <si>
    <t>% cash sweep</t>
  </si>
  <si>
    <t>Bolt on 2 costs</t>
  </si>
  <si>
    <t>Margin improvement in 3rd yr</t>
  </si>
  <si>
    <t>Revolver committed amount</t>
  </si>
  <si>
    <t>Mezzanine warrant exit %</t>
  </si>
  <si>
    <t>Instrument</t>
  </si>
  <si>
    <t>Number</t>
  </si>
  <si>
    <t>Price</t>
  </si>
  <si>
    <t>Dilution</t>
  </si>
  <si>
    <t>Options</t>
  </si>
  <si>
    <t>RSUs</t>
  </si>
  <si>
    <t>Financing package options</t>
  </si>
  <si>
    <t>Package 1</t>
  </si>
  <si>
    <t>Package 2</t>
  </si>
  <si>
    <t>Revolver</t>
  </si>
  <si>
    <t>Term loan B</t>
  </si>
  <si>
    <t>Subordinated debt</t>
  </si>
  <si>
    <t>Mezzanine</t>
  </si>
  <si>
    <t>Preference shares</t>
  </si>
  <si>
    <t>Common equity</t>
  </si>
  <si>
    <t xml:space="preserve"> Total sources</t>
  </si>
  <si>
    <t>Uses</t>
  </si>
  <si>
    <t>Refinanced net debt</t>
  </si>
  <si>
    <t>Amortising fees</t>
  </si>
  <si>
    <t>Fees</t>
  </si>
  <si>
    <t xml:space="preserve"> Total uses</t>
  </si>
  <si>
    <t>Sources</t>
  </si>
  <si>
    <t>Selected financing package</t>
  </si>
  <si>
    <t>Debt/LTM</t>
  </si>
  <si>
    <t>Drawn</t>
  </si>
  <si>
    <t>EBITDA</t>
  </si>
  <si>
    <t>% total</t>
  </si>
  <si>
    <t>Spread</t>
  </si>
  <si>
    <t>Rate</t>
  </si>
  <si>
    <t>fee/OID</t>
  </si>
  <si>
    <t>Term</t>
  </si>
  <si>
    <t>Fee</t>
  </si>
  <si>
    <t>Fee/yr</t>
  </si>
  <si>
    <t>Ownership</t>
  </si>
  <si>
    <t>Entry</t>
  </si>
  <si>
    <t>Exit</t>
  </si>
  <si>
    <t>Management</t>
  </si>
  <si>
    <t>PE institution</t>
  </si>
  <si>
    <t>Goodwill</t>
  </si>
  <si>
    <t>Equity purchase price</t>
  </si>
  <si>
    <t>Net identifable assets</t>
  </si>
  <si>
    <t xml:space="preserve"> Goodwill</t>
  </si>
  <si>
    <t>Equity returns</t>
  </si>
  <si>
    <t>Year count</t>
  </si>
  <si>
    <t>EBITDA post cost improvements</t>
  </si>
  <si>
    <t>Enterprise value</t>
  </si>
  <si>
    <t>+ Cash</t>
  </si>
  <si>
    <t>- Preference shares</t>
  </si>
  <si>
    <t>-Mezzanine debt</t>
  </si>
  <si>
    <t>- Total debt excl mezz</t>
  </si>
  <si>
    <t xml:space="preserve"> = Equity value</t>
  </si>
  <si>
    <t>Exit year flag</t>
  </si>
  <si>
    <t xml:space="preserve">PE institution </t>
  </si>
  <si>
    <t>Dividend</t>
  </si>
  <si>
    <t>Equity</t>
  </si>
  <si>
    <t>IRR</t>
  </si>
  <si>
    <t>Multiple of money</t>
  </si>
  <si>
    <t xml:space="preserve">Mezzanine </t>
  </si>
  <si>
    <t>Mezzanine debt</t>
  </si>
  <si>
    <t>Mezzanine cash interest</t>
  </si>
  <si>
    <t>Fund IRR sensitivity to exit multiple and margin improvement run-rate</t>
  </si>
  <si>
    <t>Margin improvement run rate</t>
  </si>
  <si>
    <t>Exit mult</t>
  </si>
  <si>
    <t>Fund</t>
  </si>
  <si>
    <t>Mgt</t>
  </si>
  <si>
    <t>Mezz</t>
  </si>
  <si>
    <t>Selected case</t>
  </si>
  <si>
    <t>Base</t>
  </si>
  <si>
    <t>Bank</t>
  </si>
  <si>
    <t>Income statement assumptions</t>
  </si>
  <si>
    <t>Base case sales growth</t>
  </si>
  <si>
    <t>Bank case sales growth</t>
  </si>
  <si>
    <t>Selected case sales growth</t>
  </si>
  <si>
    <t>Cost of sales % sales</t>
  </si>
  <si>
    <t>SG&amp;A % sales</t>
  </si>
  <si>
    <t>Non-recurring expenses</t>
  </si>
  <si>
    <t>Base case margin improvement as a % of LTM sales</t>
  </si>
  <si>
    <t>Bank case margin improvement as a % of LTM sales</t>
  </si>
  <si>
    <t>Selected case margin improvement as a % of LTM sales</t>
  </si>
  <si>
    <t>Depreciation % of opening PP&amp;E</t>
  </si>
  <si>
    <t>Effective tax rate</t>
  </si>
  <si>
    <t>Balance sheet assumptions</t>
  </si>
  <si>
    <t>Inventory days</t>
  </si>
  <si>
    <t>Receivable days</t>
  </si>
  <si>
    <t>Other current assets % of sales</t>
  </si>
  <si>
    <t>Capex % sales</t>
  </si>
  <si>
    <t xml:space="preserve">Other LT assets amount </t>
  </si>
  <si>
    <t>Payable days</t>
  </si>
  <si>
    <t>Other current lia % sales</t>
  </si>
  <si>
    <t>Other LT liabilities amount</t>
  </si>
  <si>
    <t>Net PP&amp;E</t>
  </si>
  <si>
    <t>Beginning</t>
  </si>
  <si>
    <t>Bolt on capex</t>
  </si>
  <si>
    <t>Depreciation</t>
  </si>
  <si>
    <t xml:space="preserve"> Ending</t>
  </si>
  <si>
    <t>PIK dividends</t>
  </si>
  <si>
    <t>Ending</t>
  </si>
  <si>
    <t>Dividends</t>
  </si>
  <si>
    <t>Net income</t>
  </si>
  <si>
    <t>Operating working capital</t>
  </si>
  <si>
    <t>Other current lia</t>
  </si>
  <si>
    <t xml:space="preserve"> OWC</t>
  </si>
  <si>
    <t>Fees amortisation</t>
  </si>
  <si>
    <t>Opening</t>
  </si>
  <si>
    <t>Closing</t>
  </si>
  <si>
    <t>Net sales</t>
  </si>
  <si>
    <t>Bolt on sales</t>
  </si>
  <si>
    <t>Bolt on costs</t>
  </si>
  <si>
    <t>COS</t>
  </si>
  <si>
    <t>Gross profit</t>
  </si>
  <si>
    <t>SG&amp;A</t>
  </si>
  <si>
    <t>Margin improvements</t>
  </si>
  <si>
    <t>Operating profit</t>
  </si>
  <si>
    <t>Interest expense</t>
  </si>
  <si>
    <t>Income before tax</t>
  </si>
  <si>
    <t>Provision for income taxes</t>
  </si>
  <si>
    <t>Operating profits</t>
  </si>
  <si>
    <t xml:space="preserve">Depn </t>
  </si>
  <si>
    <t>Cash</t>
  </si>
  <si>
    <t>Accounts receivable</t>
  </si>
  <si>
    <t>Inventories</t>
  </si>
  <si>
    <t>Other current assets</t>
  </si>
  <si>
    <t xml:space="preserve"> Total current assets</t>
  </si>
  <si>
    <t>PP&amp;E</t>
  </si>
  <si>
    <t>Other LT assets</t>
  </si>
  <si>
    <t xml:space="preserve"> Total assets</t>
  </si>
  <si>
    <t>Accounts payable</t>
  </si>
  <si>
    <t>Other current liabilities</t>
  </si>
  <si>
    <t xml:space="preserve"> Total current liabilities</t>
  </si>
  <si>
    <t>Debt</t>
  </si>
  <si>
    <t>Refi TLB</t>
  </si>
  <si>
    <t>Other LT liabilities</t>
  </si>
  <si>
    <t xml:space="preserve"> Total liabilities</t>
  </si>
  <si>
    <t xml:space="preserve"> Total liabilities and equity</t>
  </si>
  <si>
    <t>Balance?</t>
  </si>
  <si>
    <t>EBITDA post margin improvements</t>
  </si>
  <si>
    <t>Cash interest</t>
  </si>
  <si>
    <t>Tax expense</t>
  </si>
  <si>
    <t>(Inc) dec in other LT assets</t>
  </si>
  <si>
    <t>Inc (dec) in other LT liabilities</t>
  </si>
  <si>
    <t>(Inc) dec in OWC</t>
  </si>
  <si>
    <t xml:space="preserve"> Cash flow from operations</t>
  </si>
  <si>
    <t>(Capex)</t>
  </si>
  <si>
    <t xml:space="preserve"> Cash flow from investing activities</t>
  </si>
  <si>
    <t>Inc (dec) in revolver</t>
  </si>
  <si>
    <t>Inc (dec) in LT debt</t>
  </si>
  <si>
    <t>Inc (dec) in refi TLB</t>
  </si>
  <si>
    <t xml:space="preserve"> Cash flow from financing activities</t>
  </si>
  <si>
    <t>Beginning cash</t>
  </si>
  <si>
    <t>Net cash flow</t>
  </si>
  <si>
    <t xml:space="preserve"> Ending cash</t>
  </si>
  <si>
    <t>Mandatory repayment assumptions</t>
  </si>
  <si>
    <t>Cash flow</t>
  </si>
  <si>
    <t>Beginning cash balance</t>
  </si>
  <si>
    <t>Cash flow from operations</t>
  </si>
  <si>
    <t>Cash flow from investing</t>
  </si>
  <si>
    <t xml:space="preserve"> Cash flow for debt repayment</t>
  </si>
  <si>
    <t>Mandatory repayments</t>
  </si>
  <si>
    <t xml:space="preserve"> Cash flow for revolver</t>
  </si>
  <si>
    <t>Issuance (repayment)</t>
  </si>
  <si>
    <t>Revolver facility total commitment</t>
  </si>
  <si>
    <t>Undrawn</t>
  </si>
  <si>
    <t>Commitment fee</t>
  </si>
  <si>
    <t>Compliance check</t>
  </si>
  <si>
    <t>Cash flow for first lien acceleration</t>
  </si>
  <si>
    <t>Div recap year</t>
  </si>
  <si>
    <t>Recap loan interest</t>
  </si>
  <si>
    <t>Recap amount</t>
  </si>
  <si>
    <t>Beginning balance</t>
  </si>
  <si>
    <t>Div recap</t>
  </si>
  <si>
    <t>Mandatory repayment</t>
  </si>
  <si>
    <t>Accelerated repayment</t>
  </si>
  <si>
    <t xml:space="preserve"> Ending balance</t>
  </si>
  <si>
    <t>Refinanced TLB</t>
  </si>
  <si>
    <t>div recap</t>
  </si>
  <si>
    <t xml:space="preserve"> Cash flow for second lien acceleration</t>
  </si>
  <si>
    <t>PIK interest switch</t>
  </si>
  <si>
    <t>Cash interest reduction</t>
  </si>
  <si>
    <t>Mezz cash int rate</t>
  </si>
  <si>
    <t>PIK interest</t>
  </si>
  <si>
    <t>Total interest expense (incl fees)</t>
  </si>
  <si>
    <t>Total cash interest (incl cash fees)</t>
  </si>
  <si>
    <t>Credit ratios</t>
  </si>
  <si>
    <t>EBITDA - capex</t>
  </si>
  <si>
    <t>Total debt</t>
  </si>
  <si>
    <t>Total debt / EBITDA</t>
  </si>
  <si>
    <t>Total debt / EBITDA - capex</t>
  </si>
  <si>
    <t>EBITDA / cash interest</t>
  </si>
  <si>
    <t>EBITDA - capex / cash interest</t>
  </si>
  <si>
    <t>% of total debt repaid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</si>
</sst>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41" formatCode="_(* #,##0_);_(* \(#,##0\);_(* &quot;-&quot;_);_(@_)"/>
    <numFmt numFmtId="43" formatCode="_(* #,##0.00_);_(* \(#,##0.00\);_(* &quot;-&quot;??_);_(@_)"/>
    <numFmt numFmtId="164" formatCode="_(&quot;£&quot;* #,##0_);_(&quot;£&quot;* \(#,##0\);_(&quot;£&quot;* &quot;-&quot;_);_(@_)"/>
    <numFmt numFmtId="165" formatCode="_(&quot;£&quot;* #,##0.00_);_(&quot;£&quot;* \(#,##0.00\);_(&quot;£&quot;* &quot;-&quot;??_);_(@_)"/>
    <numFmt numFmtId="166" formatCode="[$-409]d\-mmm\-yy;@"/>
    <numFmt numFmtId="167" formatCode="0.0"/>
    <numFmt numFmtId="168" formatCode="#,##0.0_);\(#,##0.0\)\,0.0_);@_)"/>
    <numFmt numFmtId="169" formatCode="#,##0.0\ \x_);\(#,##0.0\ \x\);"/>
    <numFmt numFmtId="170" formatCode="0.0%_);\(0.0%\)"/>
    <numFmt numFmtId="171" formatCode=";;;"/>
    <numFmt numFmtId="172" formatCode="#,##0.0_);\(#,##0.0\);0.0_);@_)"/>
    <numFmt numFmtId="173" formatCode="#,##0.0_);\(#,##0.0\)"/>
    <numFmt numFmtId="174" formatCode="_ \ * #,##0.0_)_%;_ \ * \(#,##0.0\)_%;;_ \ * @_)_%"/>
    <numFmt numFmtId="175" formatCode="#,##0.0_)_%;\(#,##0.0\)_%;#,##0.0_)_%;@_)_%"/>
    <numFmt numFmtId="176" formatCode="0.00%_);\(0.00%\)"/>
    <numFmt numFmtId="177" formatCode="#,##0.00_);\(#,##0.00\);0.00_);@_)"/>
  </numFmts>
  <fonts count="53">
    <font>
      <sz val="11"/>
      <name val="Calibri"/>
      <family val="2"/>
      <scheme val="minor"/>
    </font>
    <font>
      <sz val="2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1"/>
      <color theme="1" tint="0.249977111117893"/>
      <name val="Calibri"/>
      <family val="2"/>
      <scheme val="minor"/>
    </font>
    <font>
      <sz val="11"/>
      <color rgb="FF085393"/>
      <name val="Calibri"/>
      <family val="2"/>
      <scheme val="minor"/>
    </font>
    <font>
      <b/>
      <sz val="12"/>
      <color rgb="FF163260"/>
      <name val="Calibri"/>
      <family val="2"/>
      <scheme val="minor"/>
    </font>
    <font>
      <sz val="10"/>
      <color rgb="FF085393"/>
      <name val="Calibri"/>
      <family val="2"/>
      <scheme val="minor"/>
    </font>
    <font>
      <u/>
      <sz val="11"/>
      <color rgb="FF085393"/>
      <name val="Calibri"/>
      <family val="2"/>
      <scheme val="minor"/>
    </font>
    <font>
      <u/>
      <sz val="14"/>
      <color rgb="FF085393"/>
      <name val="Calibri"/>
      <family val="2"/>
      <scheme val="minor"/>
    </font>
    <font>
      <sz val="16"/>
      <color theme="0"/>
      <name val="Calibri Light"/>
      <family val="2"/>
      <scheme val="maj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8"/>
      <color rgb="FF006100"/>
      <name val="Calibri"/>
      <family val="2"/>
      <scheme val="minor"/>
    </font>
    <font>
      <sz val="18"/>
      <color rgb="FF9C0006"/>
      <name val="Calibri"/>
      <family val="2"/>
      <scheme val="minor"/>
    </font>
    <font>
      <sz val="18"/>
      <color rgb="FF9C6500"/>
      <name val="Calibri"/>
      <family val="2"/>
      <scheme val="minor"/>
    </font>
    <font>
      <sz val="18"/>
      <color rgb="FF3F3F76"/>
      <name val="Calibri"/>
      <family val="2"/>
      <scheme val="minor"/>
    </font>
    <font>
      <b/>
      <sz val="18"/>
      <color rgb="FF3F3F3F"/>
      <name val="Calibri"/>
      <family val="2"/>
      <scheme val="minor"/>
    </font>
    <font>
      <b/>
      <sz val="18"/>
      <color rgb="FFFA7D00"/>
      <name val="Calibri"/>
      <family val="2"/>
      <scheme val="minor"/>
    </font>
    <font>
      <sz val="18"/>
      <color rgb="FFFA7D00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18"/>
      <color rgb="FFFF0000"/>
      <name val="Calibri"/>
      <family val="2"/>
      <scheme val="minor"/>
    </font>
    <font>
      <i/>
      <sz val="18"/>
      <color rgb="FF7F7F7F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0"/>
      <name val="Calibri"/>
      <family val="2"/>
      <scheme val="minor"/>
    </font>
    <font>
      <sz val="14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color rgb="FF0000FF"/>
      <name val="Calibri"/>
      <family val="2"/>
      <scheme val="minor"/>
    </font>
    <font>
      <sz val="9"/>
      <color rgb="FF085393"/>
      <name val="Calibri"/>
      <family val="2"/>
      <scheme val="minor"/>
    </font>
    <font>
      <sz val="22"/>
      <color theme="0"/>
      <name val="Calibri Light"/>
      <family val="2"/>
      <scheme val="maj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2"/>
      <color rgb="FF008080"/>
      <name val="Calibri"/>
      <family val="2"/>
      <scheme val="minor"/>
    </font>
    <font>
      <u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i/>
      <u/>
      <sz val="16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26"/>
      <color rgb="FF0F2FB5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 tint="0.2499465926084170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rgb="FF0066CC"/>
      <name val="Arial"/>
      <family val="2"/>
    </font>
    <font>
      <sz val="11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0"/>
      <color rgb="FF00B050"/>
      <name val="Calibri"/>
      <family val="2"/>
      <scheme val="minor"/>
    </font>
  </fonts>
  <fills count="41">
    <fill>
      <patternFill patternType="none"/>
    </fill>
    <fill>
      <patternFill patternType="gray125"/>
    </fill>
    <fill>
      <patternFill patternType="solid">
        <fgColor rgb="FF163260"/>
        <bgColor indexed="64"/>
      </patternFill>
    </fill>
    <fill>
      <patternFill patternType="solid">
        <fgColor rgb="FF0853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0F8F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CCFF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theme="0" tint="-0.1499984740745262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BDEFB"/>
      </left>
      <right style="thin">
        <color rgb="FFBBDEFB"/>
      </right>
      <top style="thin">
        <color rgb="FFBBDEFB"/>
      </top>
      <bottom style="thin">
        <color rgb="FFBBDEFB"/>
      </bottom>
      <diagonal/>
    </border>
    <border>
      <left/>
      <right/>
      <top/>
      <bottom style="medium">
        <color theme="0" tint="-0.1499679555650502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2">
    <xf numFmtId="172" fontId="0" fillId="0" borderId="0" applyFill="0" applyBorder="0" applyAlignment="0" applyProtection="0"/>
    <xf numFmtId="0" fontId="8" fillId="0" borderId="0" applyNumberFormat="0" applyFill="0" applyBorder="0" applyAlignment="0" applyProtection="0"/>
    <xf numFmtId="43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2" applyNumberFormat="0" applyFill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5" fillId="0" borderId="0" applyNumberFormat="0" applyFill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0" applyNumberFormat="0" applyBorder="0" applyAlignment="0" applyProtection="0"/>
    <xf numFmtId="0" fontId="19" fillId="9" borderId="5" applyNumberFormat="0" applyAlignment="0" applyProtection="0"/>
    <xf numFmtId="0" fontId="20" fillId="10" borderId="6" applyNumberFormat="0" applyAlignment="0" applyProtection="0"/>
    <xf numFmtId="0" fontId="21" fillId="10" borderId="5" applyNumberFormat="0" applyAlignment="0" applyProtection="0"/>
    <xf numFmtId="0" fontId="22" fillId="0" borderId="7" applyNumberFormat="0" applyFill="0" applyAlignment="0" applyProtection="0"/>
    <xf numFmtId="0" fontId="23" fillId="11" borderId="8" applyNumberFormat="0" applyAlignment="0" applyProtection="0"/>
    <xf numFmtId="0" fontId="24" fillId="0" borderId="0" applyNumberFormat="0" applyFill="0" applyBorder="0" applyAlignment="0" applyProtection="0"/>
    <xf numFmtId="0" fontId="11" fillId="12" borderId="9" applyNumberFormat="0" applyFont="0" applyAlignment="0" applyProtection="0"/>
    <xf numFmtId="0" fontId="25" fillId="0" borderId="0" applyNumberFormat="0" applyFill="0" applyBorder="0" applyAlignment="0" applyProtection="0"/>
    <xf numFmtId="0" fontId="26" fillId="0" borderId="10" applyNumberFormat="0" applyFill="0" applyAlignment="0" applyProtection="0"/>
    <xf numFmtId="0" fontId="27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27" fillId="36" borderId="0" applyNumberFormat="0" applyBorder="0" applyAlignment="0" applyProtection="0"/>
    <xf numFmtId="0" fontId="34" fillId="2" borderId="0" applyNumberFormat="0">
      <alignment horizontal="left"/>
    </xf>
    <xf numFmtId="0" fontId="10" fillId="3" borderId="0" applyNumberFormat="0" applyAlignment="0">
      <alignment horizontal="left"/>
    </xf>
    <xf numFmtId="0" fontId="6" fillId="0" borderId="0" applyNumberFormat="0" applyFill="0" applyBorder="0">
      <alignment horizontal="left" vertical="center"/>
    </xf>
    <xf numFmtId="0" fontId="4" fillId="5" borderId="0" applyNumberFormat="0" applyFont="0" applyAlignment="0" applyProtection="0">
      <alignment vertical="top"/>
    </xf>
    <xf numFmtId="166" fontId="30" fillId="3" borderId="0">
      <alignment horizontal="center"/>
    </xf>
    <xf numFmtId="168" fontId="29" fillId="2" borderId="0">
      <alignment horizontal="center"/>
    </xf>
    <xf numFmtId="168" fontId="5" fillId="0" borderId="0">
      <alignment vertical="top"/>
    </xf>
    <xf numFmtId="166" fontId="31" fillId="0" borderId="0" applyFont="0" applyFill="0" applyBorder="0" applyAlignment="0" applyProtection="0"/>
    <xf numFmtId="169" fontId="11" fillId="0" borderId="0" applyFont="0" applyFill="0" applyBorder="0" applyAlignment="0" applyProtection="0"/>
    <xf numFmtId="170" fontId="31" fillId="2" borderId="0" applyFont="0" applyFill="0" applyBorder="0" applyAlignment="0" applyProtection="0"/>
    <xf numFmtId="168" fontId="32" fillId="2" borderId="0" applyNumberFormat="0" applyFill="0" applyBorder="0" applyAlignment="0" applyProtection="0"/>
    <xf numFmtId="168" fontId="33" fillId="0" borderId="0" applyNumberFormat="0" applyFill="0" applyBorder="0" applyAlignment="0">
      <alignment vertical="top"/>
    </xf>
    <xf numFmtId="171" fontId="31" fillId="2" borderId="0" applyFont="0" applyFill="0" applyBorder="0" applyAlignment="0" applyProtection="0"/>
    <xf numFmtId="169" fontId="32" fillId="37" borderId="11" applyNumberFormat="0">
      <protection locked="0"/>
    </xf>
    <xf numFmtId="0" fontId="4" fillId="5" borderId="12" applyFont="0" applyAlignment="0" applyProtection="0">
      <alignment vertical="top"/>
    </xf>
    <xf numFmtId="168" fontId="34" fillId="3" borderId="0" applyNumberFormat="0" applyBorder="0">
      <alignment horizontal="center" vertical="top"/>
    </xf>
    <xf numFmtId="168" fontId="5" fillId="38" borderId="0" applyNumberFormat="0" applyFont="0" applyBorder="0" applyAlignment="0" applyProtection="0">
      <alignment vertical="top"/>
    </xf>
    <xf numFmtId="173" fontId="32" fillId="0" borderId="0" applyNumberFormat="0" applyFill="0" applyBorder="0" applyAlignment="0" applyProtection="0"/>
    <xf numFmtId="15" fontId="37" fillId="0" borderId="0" applyFill="0" applyBorder="0" applyAlignment="0" applyProtection="0"/>
    <xf numFmtId="174" fontId="38" fillId="39" borderId="0" applyFill="0" applyBorder="0" applyAlignment="0" applyProtection="0">
      <alignment horizontal="center"/>
    </xf>
    <xf numFmtId="0" fontId="39" fillId="39" borderId="13" applyNumberFormat="0" applyBorder="0" applyAlignment="0" applyProtection="0">
      <alignment horizontal="center"/>
    </xf>
    <xf numFmtId="0" fontId="40" fillId="0" borderId="0" applyNumberFormat="0" applyFill="0" applyBorder="0" applyAlignment="0" applyProtection="0"/>
    <xf numFmtId="169" fontId="2" fillId="0" borderId="0" applyFont="0" applyFill="0" applyBorder="0" applyAlignment="0" applyProtection="0"/>
    <xf numFmtId="175" fontId="41" fillId="0" borderId="0" applyFont="0" applyFill="0" applyBorder="0" applyAlignment="0" applyProtection="0">
      <alignment horizontal="right"/>
    </xf>
    <xf numFmtId="170" fontId="2" fillId="0" borderId="0" applyFont="0" applyFill="0" applyBorder="0" applyAlignment="0" applyProtection="0"/>
    <xf numFmtId="0" fontId="42" fillId="0" borderId="0" applyNumberFormat="0" applyFill="0" applyBorder="0" applyAlignment="0" applyProtection="0"/>
    <xf numFmtId="175" fontId="43" fillId="0" borderId="14" applyNumberFormat="0" applyFill="0" applyAlignment="0">
      <alignment horizontal="right"/>
    </xf>
    <xf numFmtId="173" fontId="1" fillId="0" borderId="0" applyFont="0" applyFill="0" applyBorder="0" applyAlignment="0" applyProtection="0"/>
    <xf numFmtId="15" fontId="1" fillId="0" borderId="0" applyFont="0" applyFill="0" applyBorder="0" applyAlignment="0" applyProtection="0"/>
    <xf numFmtId="173" fontId="44" fillId="0" borderId="0" applyNumberFormat="0" applyFill="0" applyBorder="0" applyAlignment="0" applyProtection="0"/>
    <xf numFmtId="170" fontId="1" fillId="0" borderId="0" applyFont="0" applyFill="0" applyBorder="0" applyAlignment="0" applyProtection="0"/>
    <xf numFmtId="172" fontId="46" fillId="0" borderId="0"/>
    <xf numFmtId="0" fontId="47" fillId="0" borderId="0" applyFill="0" applyBorder="0" applyAlignment="0" applyProtection="0"/>
    <xf numFmtId="0" fontId="48" fillId="4" borderId="0" applyNumberFormat="0" applyFill="0" applyBorder="0" applyAlignment="0" applyProtection="0">
      <alignment horizontal="right"/>
    </xf>
  </cellStyleXfs>
  <cellXfs count="105">
    <xf numFmtId="172" fontId="0" fillId="0" borderId="0" xfId="0"/>
    <xf numFmtId="172" fontId="4" fillId="5" borderId="0" xfId="0" applyFont="1" applyFill="1" applyBorder="1"/>
    <xf numFmtId="172" fontId="4" fillId="4" borderId="0" xfId="0" applyFont="1" applyFill="1" applyBorder="1"/>
    <xf numFmtId="172" fontId="4" fillId="5" borderId="0" xfId="0" applyFont="1" applyFill="1" applyBorder="1" applyAlignment="1">
      <alignment vertical="top" wrapText="1"/>
    </xf>
    <xf numFmtId="172" fontId="4" fillId="5" borderId="1" xfId="0" applyFont="1" applyFill="1" applyBorder="1" applyAlignment="1">
      <alignment vertical="top"/>
    </xf>
    <xf numFmtId="168" fontId="34" fillId="2" borderId="0" xfId="48" applyNumberFormat="1">
      <alignment horizontal="left"/>
    </xf>
    <xf numFmtId="172" fontId="27" fillId="2" borderId="0" xfId="0" applyFont="1" applyFill="1" applyBorder="1" applyAlignment="1"/>
    <xf numFmtId="172" fontId="28" fillId="3" borderId="0" xfId="0" applyFont="1" applyFill="1" applyBorder="1" applyAlignment="1"/>
    <xf numFmtId="172" fontId="5" fillId="5" borderId="0" xfId="0" applyFont="1" applyFill="1" applyBorder="1" applyAlignment="1">
      <alignment horizontal="center" vertical="top"/>
    </xf>
    <xf numFmtId="172" fontId="5" fillId="5" borderId="0" xfId="0" applyFont="1" applyFill="1" applyBorder="1" applyAlignment="1">
      <alignment vertical="top"/>
    </xf>
    <xf numFmtId="172" fontId="27" fillId="2" borderId="0" xfId="0" applyFont="1" applyFill="1" applyBorder="1" applyAlignment="1">
      <alignment vertical="center"/>
    </xf>
    <xf numFmtId="166" fontId="30" fillId="3" borderId="0" xfId="52">
      <alignment horizontal="center"/>
    </xf>
    <xf numFmtId="168" fontId="29" fillId="2" borderId="0" xfId="53">
      <alignment horizontal="center"/>
    </xf>
    <xf numFmtId="168" fontId="34" fillId="2" borderId="0" xfId="48" applyNumberFormat="1" applyAlignment="1"/>
    <xf numFmtId="168" fontId="10" fillId="3" borderId="0" xfId="49" applyNumberFormat="1" applyAlignment="1"/>
    <xf numFmtId="172" fontId="4" fillId="5" borderId="0" xfId="0" applyFont="1" applyFill="1" applyBorder="1" applyAlignment="1">
      <alignment horizontal="left" vertical="top"/>
    </xf>
    <xf numFmtId="172" fontId="4" fillId="5" borderId="0" xfId="0" applyFont="1" applyFill="1" applyBorder="1" applyAlignment="1">
      <alignment vertical="top"/>
    </xf>
    <xf numFmtId="172" fontId="4" fillId="0" borderId="0" xfId="0" applyFont="1" applyFill="1" applyBorder="1" applyAlignment="1">
      <alignment vertical="top" wrapText="1"/>
    </xf>
    <xf numFmtId="172" fontId="5" fillId="0" borderId="0" xfId="0" applyFont="1" applyFill="1" applyBorder="1" applyAlignment="1">
      <alignment vertical="top"/>
    </xf>
    <xf numFmtId="172" fontId="4" fillId="0" borderId="0" xfId="0" applyFont="1" applyFill="1" applyBorder="1" applyAlignment="1">
      <alignment horizontal="left" wrapText="1"/>
    </xf>
    <xf numFmtId="172" fontId="4" fillId="0" borderId="0" xfId="0" applyFont="1" applyFill="1" applyBorder="1" applyAlignment="1">
      <alignment vertical="top"/>
    </xf>
    <xf numFmtId="172" fontId="4" fillId="0" borderId="0" xfId="0" applyFont="1" applyFill="1" applyBorder="1"/>
    <xf numFmtId="172" fontId="6" fillId="0" borderId="0" xfId="0" applyFont="1" applyFill="1" applyBorder="1" applyAlignment="1">
      <alignment vertical="center"/>
    </xf>
    <xf numFmtId="172" fontId="7" fillId="0" borderId="0" xfId="0" applyFont="1" applyFill="1" applyBorder="1" applyAlignment="1">
      <alignment vertical="center" wrapText="1"/>
    </xf>
    <xf numFmtId="172" fontId="4" fillId="0" borderId="0" xfId="0" applyFont="1" applyFill="1" applyBorder="1" applyAlignment="1">
      <alignment horizontal="left" vertical="top"/>
    </xf>
    <xf numFmtId="172" fontId="5" fillId="0" borderId="0" xfId="0" applyFont="1" applyFill="1" applyBorder="1" applyAlignment="1">
      <alignment horizontal="center" vertical="top"/>
    </xf>
    <xf numFmtId="172" fontId="9" fillId="0" borderId="0" xfId="0" applyFont="1" applyFill="1" applyBorder="1" applyAlignment="1">
      <alignment vertical="center" wrapText="1"/>
    </xf>
    <xf numFmtId="166" fontId="4" fillId="0" borderId="0" xfId="0" applyNumberFormat="1" applyFont="1" applyFill="1" applyBorder="1" applyAlignment="1">
      <alignment horizontal="left"/>
    </xf>
    <xf numFmtId="172" fontId="4" fillId="0" borderId="0" xfId="0" applyFont="1" applyFill="1" applyBorder="1" applyAlignment="1">
      <alignment horizontal="left"/>
    </xf>
    <xf numFmtId="167" fontId="4" fillId="0" borderId="0" xfId="0" applyNumberFormat="1" applyFont="1" applyFill="1" applyBorder="1" applyAlignment="1">
      <alignment horizontal="left"/>
    </xf>
    <xf numFmtId="172" fontId="0" fillId="0" borderId="0" xfId="0" applyFill="1"/>
    <xf numFmtId="172" fontId="0" fillId="0" borderId="0" xfId="0" applyFill="1" applyBorder="1"/>
    <xf numFmtId="172" fontId="27" fillId="0" borderId="0" xfId="0" applyFont="1" applyFill="1" applyBorder="1" applyAlignment="1"/>
    <xf numFmtId="172" fontId="28" fillId="0" borderId="0" xfId="0" applyFont="1" applyFill="1" applyBorder="1" applyAlignment="1"/>
    <xf numFmtId="168" fontId="32" fillId="0" borderId="0" xfId="58" applyFill="1" applyBorder="1" applyAlignment="1">
      <alignment vertical="top"/>
    </xf>
    <xf numFmtId="168" fontId="4" fillId="5" borderId="0" xfId="51" applyNumberFormat="1" applyFont="1" applyAlignment="1">
      <alignment horizontal="left" vertical="top"/>
    </xf>
    <xf numFmtId="168" fontId="5" fillId="5" borderId="0" xfId="51" applyNumberFormat="1" applyFont="1" applyAlignment="1">
      <alignment horizontal="center" vertical="top"/>
    </xf>
    <xf numFmtId="168" fontId="4" fillId="5" borderId="0" xfId="51" applyNumberFormat="1" applyFont="1" applyAlignment="1"/>
    <xf numFmtId="168" fontId="7" fillId="5" borderId="0" xfId="51" applyNumberFormat="1" applyFont="1" applyAlignment="1">
      <alignment vertical="center" wrapText="1"/>
    </xf>
    <xf numFmtId="168" fontId="4" fillId="5" borderId="0" xfId="51" applyNumberFormat="1" applyFont="1" applyAlignment="1">
      <alignment vertical="top"/>
    </xf>
    <xf numFmtId="0" fontId="4" fillId="5" borderId="12" xfId="62" applyFont="1" applyAlignment="1">
      <alignment vertical="top"/>
    </xf>
    <xf numFmtId="0" fontId="5" fillId="5" borderId="12" xfId="62" applyFont="1" applyAlignment="1">
      <alignment horizontal="center" vertical="top"/>
    </xf>
    <xf numFmtId="0" fontId="4" fillId="5" borderId="12" xfId="62" applyFont="1" applyAlignment="1"/>
    <xf numFmtId="0" fontId="7" fillId="5" borderId="12" xfId="62" applyFont="1" applyAlignment="1">
      <alignment vertical="center" wrapText="1"/>
    </xf>
    <xf numFmtId="168" fontId="9" fillId="5" borderId="0" xfId="51" applyNumberFormat="1" applyFont="1" applyAlignment="1">
      <alignment vertical="center" wrapText="1"/>
    </xf>
    <xf numFmtId="0" fontId="5" fillId="5" borderId="12" xfId="62" applyFont="1" applyAlignment="1"/>
    <xf numFmtId="0" fontId="4" fillId="5" borderId="12" xfId="62" applyFont="1" applyAlignment="1">
      <alignment horizontal="left"/>
    </xf>
    <xf numFmtId="0" fontId="9" fillId="5" borderId="12" xfId="62" applyFont="1" applyAlignment="1">
      <alignment horizontal="center" vertical="center" wrapText="1"/>
    </xf>
    <xf numFmtId="0" fontId="9" fillId="5" borderId="12" xfId="62" applyFont="1" applyAlignment="1">
      <alignment vertical="center" wrapText="1"/>
    </xf>
    <xf numFmtId="168" fontId="32" fillId="37" borderId="11" xfId="61" applyNumberFormat="1">
      <protection locked="0"/>
    </xf>
    <xf numFmtId="168" fontId="4" fillId="0" borderId="0" xfId="51" applyNumberFormat="1" applyFont="1" applyFill="1" applyAlignment="1"/>
    <xf numFmtId="0" fontId="4" fillId="0" borderId="0" xfId="62" applyFont="1" applyFill="1" applyBorder="1" applyAlignment="1"/>
    <xf numFmtId="172" fontId="0" fillId="5" borderId="0" xfId="51" applyNumberFormat="1" applyFont="1" applyAlignment="1"/>
    <xf numFmtId="172" fontId="4" fillId="5" borderId="0" xfId="51" applyNumberFormat="1" applyFont="1" applyAlignment="1">
      <alignment vertical="top"/>
    </xf>
    <xf numFmtId="0" fontId="0" fillId="5" borderId="12" xfId="62" applyFont="1" applyAlignment="1"/>
    <xf numFmtId="172" fontId="6" fillId="5" borderId="0" xfId="51" applyNumberFormat="1" applyFont="1" applyAlignment="1">
      <alignment vertical="center"/>
    </xf>
    <xf numFmtId="0" fontId="5" fillId="5" borderId="12" xfId="62" applyFont="1" applyAlignment="1">
      <alignment horizontal="left" vertical="top"/>
    </xf>
    <xf numFmtId="168" fontId="4" fillId="5" borderId="0" xfId="51" applyNumberFormat="1" applyFont="1" applyAlignment="1">
      <alignment horizontal="left"/>
    </xf>
    <xf numFmtId="170" fontId="0" fillId="0" borderId="0" xfId="57" applyFont="1" applyFill="1"/>
    <xf numFmtId="172" fontId="32" fillId="0" borderId="0" xfId="65" applyNumberFormat="1"/>
    <xf numFmtId="172" fontId="45" fillId="0" borderId="0" xfId="0" applyFont="1"/>
    <xf numFmtId="170" fontId="32" fillId="0" borderId="0" xfId="57" applyFont="1" applyFill="1"/>
    <xf numFmtId="170" fontId="0" fillId="0" borderId="0" xfId="72" applyFont="1"/>
    <xf numFmtId="172" fontId="0" fillId="0" borderId="0" xfId="0" applyAlignment="1">
      <alignment horizontal="right"/>
    </xf>
    <xf numFmtId="169" fontId="0" fillId="0" borderId="0" xfId="56" applyFont="1"/>
    <xf numFmtId="169" fontId="32" fillId="37" borderId="11" xfId="61">
      <protection locked="0"/>
    </xf>
    <xf numFmtId="172" fontId="32" fillId="37" borderId="11" xfId="61" applyNumberFormat="1">
      <protection locked="0"/>
    </xf>
    <xf numFmtId="170" fontId="32" fillId="37" borderId="11" xfId="72" applyFont="1" applyFill="1" applyBorder="1" applyProtection="1">
      <protection locked="0"/>
    </xf>
    <xf numFmtId="176" fontId="32" fillId="37" borderId="11" xfId="72" applyNumberFormat="1" applyFont="1" applyFill="1" applyBorder="1" applyProtection="1">
      <protection locked="0"/>
    </xf>
    <xf numFmtId="176" fontId="0" fillId="0" borderId="0" xfId="72" applyNumberFormat="1" applyFont="1"/>
    <xf numFmtId="170" fontId="32" fillId="37" borderId="11" xfId="57" applyFont="1" applyFill="1" applyBorder="1" applyProtection="1">
      <protection locked="0"/>
    </xf>
    <xf numFmtId="0" fontId="32" fillId="0" borderId="0" xfId="65" applyNumberFormat="1"/>
    <xf numFmtId="0" fontId="0" fillId="0" borderId="0" xfId="0" applyNumberFormat="1"/>
    <xf numFmtId="172" fontId="0" fillId="0" borderId="0" xfId="0" quotePrefix="1"/>
    <xf numFmtId="172" fontId="49" fillId="4" borderId="0" xfId="0" applyFont="1" applyFill="1" applyBorder="1"/>
    <xf numFmtId="172" fontId="32" fillId="0" borderId="0" xfId="58" applyNumberFormat="1" applyFill="1"/>
    <xf numFmtId="172" fontId="49" fillId="0" borderId="0" xfId="0" applyFont="1"/>
    <xf numFmtId="170" fontId="32" fillId="37" borderId="11" xfId="61" applyNumberFormat="1">
      <protection locked="0"/>
    </xf>
    <xf numFmtId="176" fontId="32" fillId="37" borderId="11" xfId="61" applyNumberFormat="1">
      <protection locked="0"/>
    </xf>
    <xf numFmtId="170" fontId="32" fillId="0" borderId="0" xfId="58" applyNumberFormat="1" applyFill="1"/>
    <xf numFmtId="172" fontId="50" fillId="0" borderId="0" xfId="0" applyFont="1"/>
    <xf numFmtId="169" fontId="0" fillId="0" borderId="0" xfId="70" applyFont="1"/>
    <xf numFmtId="169" fontId="0" fillId="0" borderId="0" xfId="70" applyFont="1" applyFill="1"/>
    <xf numFmtId="169" fontId="29" fillId="2" borderId="0" xfId="70" applyFont="1" applyFill="1" applyAlignment="1">
      <alignment horizontal="center"/>
    </xf>
    <xf numFmtId="170" fontId="29" fillId="2" borderId="0" xfId="57" applyFont="1" applyAlignment="1">
      <alignment horizontal="center"/>
    </xf>
    <xf numFmtId="177" fontId="0" fillId="0" borderId="0" xfId="0" applyNumberFormat="1"/>
    <xf numFmtId="170" fontId="49" fillId="0" borderId="0" xfId="57" applyFont="1" applyFill="1"/>
    <xf numFmtId="172" fontId="32" fillId="0" borderId="0" xfId="65" applyNumberFormat="1" applyFill="1"/>
    <xf numFmtId="172" fontId="51" fillId="0" borderId="0" xfId="0" applyFont="1"/>
    <xf numFmtId="172" fontId="52" fillId="0" borderId="0" xfId="0" applyFont="1"/>
    <xf numFmtId="172" fontId="0" fillId="40" borderId="0" xfId="0" applyFill="1"/>
    <xf numFmtId="169" fontId="0" fillId="40" borderId="0" xfId="56" applyFont="1" applyFill="1"/>
    <xf numFmtId="172" fontId="0" fillId="40" borderId="0" xfId="0" quotePrefix="1" applyFill="1"/>
    <xf numFmtId="168" fontId="34" fillId="2" borderId="0" xfId="48" applyNumberFormat="1" applyAlignment="1">
      <alignment horizontal="center"/>
    </xf>
    <xf numFmtId="172" fontId="7" fillId="0" borderId="0" xfId="0" applyFont="1" applyFill="1" applyBorder="1" applyAlignment="1">
      <alignment horizontal="center" vertical="center" wrapText="1"/>
    </xf>
    <xf numFmtId="168" fontId="4" fillId="5" borderId="0" xfId="51" applyNumberFormat="1" applyFont="1" applyAlignment="1">
      <alignment horizontal="left" vertical="top"/>
    </xf>
    <xf numFmtId="168" fontId="34" fillId="3" borderId="0" xfId="49" applyNumberFormat="1" applyFont="1" applyAlignment="1">
      <alignment horizontal="center" vertical="center"/>
    </xf>
    <xf numFmtId="168" fontId="33" fillId="5" borderId="0" xfId="59" applyNumberFormat="1" applyFill="1" applyBorder="1" applyAlignment="1">
      <alignment horizontal="center" vertical="center" wrapText="1"/>
    </xf>
    <xf numFmtId="172" fontId="9" fillId="0" borderId="0" xfId="0" applyFont="1" applyFill="1" applyBorder="1" applyAlignment="1">
      <alignment horizontal="center" vertical="center" wrapText="1"/>
    </xf>
    <xf numFmtId="172" fontId="6" fillId="5" borderId="0" xfId="0" applyFont="1" applyFill="1" applyBorder="1" applyAlignment="1">
      <alignment horizontal="left" vertical="center"/>
    </xf>
    <xf numFmtId="166" fontId="4" fillId="5" borderId="0" xfId="51" applyNumberFormat="1" applyFont="1" applyAlignment="1">
      <alignment horizontal="left"/>
    </xf>
    <xf numFmtId="172" fontId="0" fillId="5" borderId="0" xfId="51" applyNumberFormat="1" applyFont="1" applyAlignment="1">
      <alignment horizontal="left"/>
    </xf>
    <xf numFmtId="168" fontId="4" fillId="5" borderId="0" xfId="51" applyNumberFormat="1" applyFont="1" applyAlignment="1">
      <alignment horizontal="left"/>
    </xf>
    <xf numFmtId="0" fontId="4" fillId="5" borderId="0" xfId="51" applyNumberFormat="1" applyFont="1" applyAlignment="1">
      <alignment horizontal="left"/>
    </xf>
    <xf numFmtId="172" fontId="6" fillId="5" borderId="0" xfId="50" applyNumberFormat="1" applyFill="1" applyAlignment="1">
      <alignment horizontal="left" vertical="center"/>
    </xf>
  </cellXfs>
  <cellStyles count="82">
    <cellStyle name="20% - Accent1" xfId="25" builtinId="30" hidden="1"/>
    <cellStyle name="20% - Accent2" xfId="29" builtinId="34" hidden="1"/>
    <cellStyle name="20% - Accent3" xfId="33" builtinId="38" hidden="1"/>
    <cellStyle name="20% - Accent4" xfId="37" builtinId="42" hidden="1"/>
    <cellStyle name="20% - Accent5" xfId="41" builtinId="46" hidden="1"/>
    <cellStyle name="20% - Accent6" xfId="45" builtinId="50" hidden="1"/>
    <cellStyle name="40% - Accent1" xfId="26" builtinId="31" hidden="1"/>
    <cellStyle name="40% - Accent2" xfId="30" builtinId="35" hidden="1"/>
    <cellStyle name="40% - Accent3" xfId="34" builtinId="39" hidden="1"/>
    <cellStyle name="40% - Accent4" xfId="38" builtinId="43" hidden="1"/>
    <cellStyle name="40% - Accent5" xfId="42" builtinId="47" hidden="1"/>
    <cellStyle name="40% - Accent6" xfId="46" builtinId="51" hidden="1"/>
    <cellStyle name="60% - Accent1" xfId="27" builtinId="32" hidden="1"/>
    <cellStyle name="60% - Accent2" xfId="31" builtinId="36" hidden="1"/>
    <cellStyle name="60% - Accent3" xfId="35" builtinId="40" hidden="1"/>
    <cellStyle name="60% - Accent4" xfId="39" builtinId="44" hidden="1"/>
    <cellStyle name="60% - Accent5" xfId="43" builtinId="48" hidden="1"/>
    <cellStyle name="60% - Accent6" xfId="47" builtinId="52" hidden="1"/>
    <cellStyle name="Accent1" xfId="24" builtinId="29" hidden="1"/>
    <cellStyle name="Accent2" xfId="28" builtinId="33" hidden="1"/>
    <cellStyle name="Accent3" xfId="32" builtinId="37" hidden="1"/>
    <cellStyle name="Accent4" xfId="36" builtinId="41" hidden="1"/>
    <cellStyle name="Accent5" xfId="40" builtinId="45" hidden="1"/>
    <cellStyle name="Accent6" xfId="44" builtinId="49" hidden="1"/>
    <cellStyle name="b" xfId="65" xr:uid="{00000000-0005-0000-0000-000018000000}"/>
    <cellStyle name="b 2" xfId="77" xr:uid="{00000000-0005-0000-0000-000019000000}"/>
    <cellStyle name="Background Fill" xfId="51" xr:uid="{00000000-0005-0000-0000-00001A000000}"/>
    <cellStyle name="Bad" xfId="13" builtinId="27" hidden="1"/>
    <cellStyle name="BG Border" xfId="62" xr:uid="{00000000-0005-0000-0000-00001C000000}"/>
    <cellStyle name="Blank" xfId="60" xr:uid="{00000000-0005-0000-0000-00001D000000}"/>
    <cellStyle name="Calculation" xfId="17" builtinId="22" hidden="1"/>
    <cellStyle name="CapIQ_date" xfId="66" xr:uid="{00000000-0005-0000-0000-00001F000000}"/>
    <cellStyle name="Check Cell" xfId="19" builtinId="23" hidden="1"/>
    <cellStyle name="Column_header" xfId="67" xr:uid="{00000000-0005-0000-0000-000021000000}"/>
    <cellStyle name="Comma" xfId="2" builtinId="3" hidden="1"/>
    <cellStyle name="Comma [0]" xfId="3" builtinId="6" hidden="1"/>
    <cellStyle name="Cover Title" xfId="63" xr:uid="{00000000-0005-0000-0000-000024000000}"/>
    <cellStyle name="Currency" xfId="4" builtinId="4" hidden="1"/>
    <cellStyle name="Currency [0]" xfId="5" builtinId="7" hidden="1"/>
    <cellStyle name="d" xfId="76" xr:uid="{00000000-0005-0000-0000-000027000000}"/>
    <cellStyle name="DataOutput" xfId="81" xr:uid="{00000000-0005-0000-0000-000028000000}"/>
    <cellStyle name="Date" xfId="55" xr:uid="{00000000-0005-0000-0000-000029000000}"/>
    <cellStyle name="Date Heading" xfId="52" xr:uid="{00000000-0005-0000-0000-00002A000000}"/>
    <cellStyle name="Explanatory Text" xfId="22" builtinId="53" hidden="1"/>
    <cellStyle name="Good" xfId="12" builtinId="26" hidden="1"/>
    <cellStyle name="Hard Coded Number" xfId="58" xr:uid="{00000000-0005-0000-0000-00002D000000}"/>
    <cellStyle name="Heading" xfId="68" xr:uid="{00000000-0005-0000-0000-00002E000000}"/>
    <cellStyle name="Heading 1" xfId="8" builtinId="16" hidden="1"/>
    <cellStyle name="Heading 2" xfId="9" builtinId="17" hidden="1"/>
    <cellStyle name="Heading 3" xfId="10" builtinId="18" hidden="1"/>
    <cellStyle name="Heading 4" xfId="11" builtinId="19" hidden="1"/>
    <cellStyle name="Highlight" xfId="64" xr:uid="{00000000-0005-0000-0000-000033000000}"/>
    <cellStyle name="Hist Proj Title" xfId="53" xr:uid="{00000000-0005-0000-0000-000034000000}"/>
    <cellStyle name="Hyperlink" xfId="1" builtinId="8" hidden="1" customBuiltin="1"/>
    <cellStyle name="Input" xfId="15" builtinId="20" hidden="1"/>
    <cellStyle name="Input" xfId="61" builtinId="20" customBuiltin="1"/>
    <cellStyle name="Linked Cell" xfId="18" builtinId="24" hidden="1"/>
    <cellStyle name="Main_heading" xfId="69" xr:uid="{00000000-0005-0000-0000-000039000000}"/>
    <cellStyle name="Multiple" xfId="56" xr:uid="{00000000-0005-0000-0000-00003A000000}"/>
    <cellStyle name="Multiple 2" xfId="70" xr:uid="{00000000-0005-0000-0000-00003B000000}"/>
    <cellStyle name="Neutral" xfId="14" builtinId="28" hidden="1"/>
    <cellStyle name="Normal" xfId="0" builtinId="0" customBuiltin="1"/>
    <cellStyle name="Normal 2" xfId="75" xr:uid="{00000000-0005-0000-0000-00003E000000}"/>
    <cellStyle name="Normal 3" xfId="79" xr:uid="{00000000-0005-0000-0000-00003F000000}"/>
    <cellStyle name="Normal 4" xfId="80" xr:uid="{00000000-0005-0000-0000-000040000000}"/>
    <cellStyle name="Note" xfId="21" builtinId="10" hidden="1"/>
    <cellStyle name="Notes and Comments" xfId="59" xr:uid="{00000000-0005-0000-0000-000042000000}"/>
    <cellStyle name="Number_1dp" xfId="71" xr:uid="{00000000-0005-0000-0000-000043000000}"/>
    <cellStyle name="Output" xfId="16" builtinId="21" hidden="1"/>
    <cellStyle name="P" xfId="72" xr:uid="{00000000-0005-0000-0000-000045000000}"/>
    <cellStyle name="p 2" xfId="78" xr:uid="{00000000-0005-0000-0000-000046000000}"/>
    <cellStyle name="Per cent" xfId="6" builtinId="5" hidden="1"/>
    <cellStyle name="Per cent" xfId="57" builtinId="5" customBuiltin="1"/>
    <cellStyle name="Primary Title" xfId="48" xr:uid="{00000000-0005-0000-0000-000049000000}"/>
    <cellStyle name="Row Label" xfId="54" xr:uid="{00000000-0005-0000-0000-00004A000000}"/>
    <cellStyle name="Secondary Title" xfId="49" xr:uid="{00000000-0005-0000-0000-00004B000000}"/>
    <cellStyle name="Section_heading" xfId="73" xr:uid="{00000000-0005-0000-0000-00004C000000}"/>
    <cellStyle name="Switch" xfId="74" xr:uid="{00000000-0005-0000-0000-00004D000000}"/>
    <cellStyle name="Tertiary Title" xfId="50" xr:uid="{00000000-0005-0000-0000-00004E000000}"/>
    <cellStyle name="Title" xfId="7" builtinId="15" hidden="1"/>
    <cellStyle name="Total" xfId="23" builtinId="25" hidden="1"/>
    <cellStyle name="Warning Text" xfId="20" builtinId="11" hidden="1"/>
  </cellStyles>
  <dxfs count="1">
    <dxf>
      <font>
        <color theme="0"/>
      </font>
      <fill>
        <patternFill>
          <bgColor rgb="FF002060"/>
        </patternFill>
      </fill>
    </dxf>
  </dxfs>
  <tableStyles count="0" defaultTableStyle="TableStyleMedium2" defaultPivotStyle="PivotStyleLight16"/>
  <colors>
    <mruColors>
      <color rgb="FFE2F1FE"/>
      <color rgb="FFF0F8FE"/>
      <color rgb="FF163260"/>
      <color rgb="FF085393"/>
      <color rgb="FFBBDEFB"/>
      <color rgb="FF0000FF"/>
      <color rgb="FFEBF1FB"/>
      <color rgb="FFD3E0F5"/>
      <color rgb="FFC9D9F3"/>
      <color rgb="FFC4E3F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19050</xdr:colOff>
      <xdr:row>0</xdr:row>
      <xdr:rowOff>1019175</xdr:rowOff>
    </xdr:from>
    <xdr:to>
      <xdr:col>9</xdr:col>
      <xdr:colOff>457200</xdr:colOff>
      <xdr:row>0</xdr:row>
      <xdr:rowOff>1503980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95550" y="1019175"/>
          <a:ext cx="3533775" cy="48480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1931713</xdr:colOff>
      <xdr:row>0</xdr:row>
      <xdr:rowOff>123826</xdr:rowOff>
    </xdr:from>
    <xdr:to>
      <xdr:col>16</xdr:col>
      <xdr:colOff>161849</xdr:colOff>
      <xdr:row>0</xdr:row>
      <xdr:rowOff>466726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27738" y="123826"/>
          <a:ext cx="401836" cy="342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FE Training">
  <a:themeElements>
    <a:clrScheme name="Financial Edge">
      <a:dk1>
        <a:srgbClr val="3F3F3F"/>
      </a:dk1>
      <a:lt1>
        <a:sysClr val="window" lastClr="FFFFFF"/>
      </a:lt1>
      <a:dk2>
        <a:srgbClr val="163260"/>
      </a:dk2>
      <a:lt2>
        <a:srgbClr val="F2F2F2"/>
      </a:lt2>
      <a:accent1>
        <a:srgbClr val="085393"/>
      </a:accent1>
      <a:accent2>
        <a:srgbClr val="8064A2"/>
      </a:accent2>
      <a:accent3>
        <a:srgbClr val="C0504D"/>
      </a:accent3>
      <a:accent4>
        <a:srgbClr val="ED7D31"/>
      </a:accent4>
      <a:accent5>
        <a:srgbClr val="FFC000"/>
      </a:accent5>
      <a:accent6>
        <a:srgbClr val="70AD47"/>
      </a:accent6>
      <a:hlink>
        <a:srgbClr val="085393"/>
      </a:hlink>
      <a:folHlink>
        <a:srgbClr val="B2B2B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8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BCCCA658-F535-4C7E-AE58-F7F60D37049F}">
  <we:reference id="29673e3c-d826-4f00-92ee-162334a52b1a" version="1.0.0.8" store="EXCatalog" storeType="EXCatalog"/>
  <we:alternateReferences>
    <we:reference id="WA200009404" version="1.0.0.8" store="en-US" storeType="OMEX"/>
  </we:alternateReferences>
  <we:properties>
    <we:property name="claude.fileId" value="&quot;71ce8bdc-b151-49a3-a874-d5ba308a7c14&quot;"/>
  </we:properties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</we:extLst>
</we:webextension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showGridLines="0" workbookViewId="0">
      <selection sqref="A1:N1"/>
    </sheetView>
    <sheetView workbookViewId="1">
      <selection sqref="A1:N1"/>
    </sheetView>
  </sheetViews>
  <sheetFormatPr defaultColWidth="9.140625" defaultRowHeight="15"/>
  <cols>
    <col min="1" max="1" width="9.85546875" style="30" customWidth="1"/>
    <col min="2" max="13" width="9.140625" style="30" customWidth="1"/>
    <col min="14" max="14" width="9.85546875" style="30" customWidth="1"/>
    <col min="15" max="26" width="9.140625" style="30" customWidth="1"/>
    <col min="27" max="16384" width="9.140625" style="30"/>
  </cols>
  <sheetData>
    <row r="1" spans="1:14" s="32" customFormat="1" ht="189.75" customHeight="1">
      <c r="A1" s="93"/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</row>
    <row r="2" spans="1:14" s="20" customFormat="1" ht="75" customHeight="1">
      <c r="A2" s="96" t="s">
        <v>0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</row>
    <row r="3" spans="1:14" s="21" customFormat="1" ht="7.5" customHeight="1">
      <c r="B3" s="22"/>
      <c r="C3" s="22"/>
      <c r="F3" s="23"/>
      <c r="G3" s="23"/>
      <c r="H3" s="23"/>
      <c r="I3" s="23"/>
      <c r="J3" s="23"/>
      <c r="K3" s="23"/>
    </row>
    <row r="4" spans="1:14" s="21" customFormat="1" ht="15" customHeight="1">
      <c r="A4" s="35"/>
      <c r="B4" s="36"/>
      <c r="C4" s="95"/>
      <c r="D4" s="95"/>
      <c r="E4" s="37"/>
      <c r="F4" s="38"/>
      <c r="G4" s="38"/>
      <c r="H4" s="38"/>
      <c r="I4" s="38"/>
      <c r="J4" s="38"/>
      <c r="K4" s="38"/>
      <c r="L4" s="37"/>
      <c r="M4" s="37"/>
      <c r="N4" s="37"/>
    </row>
    <row r="5" spans="1:14" s="21" customFormat="1" ht="15" customHeight="1">
      <c r="A5" s="97" t="s">
        <v>1</v>
      </c>
      <c r="B5" s="97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</row>
    <row r="6" spans="1:14" s="21" customFormat="1" ht="15" customHeight="1">
      <c r="A6" s="97"/>
      <c r="B6" s="97"/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</row>
    <row r="7" spans="1:14" s="21" customFormat="1" ht="15" customHeight="1">
      <c r="A7" s="97" t="s">
        <v>2</v>
      </c>
      <c r="B7" s="97"/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</row>
    <row r="8" spans="1:14" s="21" customFormat="1" ht="15" customHeight="1" thickBot="1">
      <c r="A8" s="40"/>
      <c r="B8" s="41"/>
      <c r="C8" s="40"/>
      <c r="D8" s="40"/>
      <c r="E8" s="42"/>
      <c r="F8" s="43"/>
      <c r="G8" s="43"/>
      <c r="H8" s="43"/>
      <c r="I8" s="43"/>
      <c r="J8" s="43"/>
      <c r="K8" s="43"/>
      <c r="L8" s="42"/>
      <c r="M8" s="42"/>
      <c r="N8" s="42"/>
    </row>
    <row r="9" spans="1:14" s="21" customFormat="1" ht="15" customHeight="1">
      <c r="F9" s="26"/>
      <c r="G9" s="98"/>
      <c r="H9" s="98"/>
      <c r="I9" s="98"/>
      <c r="J9" s="98"/>
      <c r="K9" s="26"/>
    </row>
    <row r="10" spans="1:14" s="21" customFormat="1" ht="15" customHeight="1">
      <c r="B10" s="22"/>
      <c r="C10" s="22"/>
      <c r="F10" s="26"/>
      <c r="G10" s="98"/>
      <c r="H10" s="98"/>
      <c r="I10" s="98"/>
      <c r="J10" s="98"/>
      <c r="K10" s="26"/>
    </row>
    <row r="11" spans="1:14" s="21" customFormat="1" ht="15" customHeight="1">
      <c r="B11" s="18"/>
      <c r="C11" s="18"/>
      <c r="D11" s="19"/>
      <c r="F11" s="23"/>
      <c r="G11" s="23"/>
      <c r="H11" s="23"/>
      <c r="I11" s="23"/>
      <c r="J11" s="23"/>
      <c r="K11" s="23"/>
    </row>
    <row r="12" spans="1:14" s="21" customFormat="1" ht="15" customHeight="1">
      <c r="A12" s="24"/>
      <c r="B12" s="18"/>
      <c r="C12" s="18"/>
      <c r="D12" s="27"/>
      <c r="F12" s="23"/>
      <c r="G12" s="94"/>
      <c r="H12" s="94"/>
      <c r="I12" s="94"/>
      <c r="J12" s="94"/>
      <c r="K12" s="23"/>
    </row>
    <row r="13" spans="1:14" s="21" customFormat="1" ht="15" customHeight="1">
      <c r="A13" s="17"/>
      <c r="B13" s="18"/>
      <c r="C13" s="18"/>
      <c r="D13" s="28"/>
      <c r="F13" s="23"/>
      <c r="G13" s="94"/>
      <c r="H13" s="94"/>
      <c r="I13" s="94"/>
      <c r="J13" s="94"/>
      <c r="K13" s="23"/>
    </row>
    <row r="14" spans="1:14" s="21" customFormat="1" ht="15" customHeight="1">
      <c r="A14" s="20"/>
      <c r="B14" s="18"/>
      <c r="C14" s="18"/>
      <c r="D14" s="28"/>
      <c r="F14" s="23"/>
      <c r="G14" s="94"/>
      <c r="H14" s="94"/>
      <c r="I14" s="94"/>
      <c r="J14" s="94"/>
      <c r="K14" s="23"/>
    </row>
    <row r="15" spans="1:14" s="21" customFormat="1" ht="15" customHeight="1">
      <c r="A15" s="20"/>
      <c r="B15" s="18"/>
      <c r="C15" s="18"/>
      <c r="D15" s="28"/>
      <c r="F15" s="23"/>
      <c r="G15" s="23"/>
      <c r="H15" s="23"/>
      <c r="I15" s="23"/>
      <c r="J15" s="23"/>
      <c r="K15" s="23"/>
    </row>
    <row r="16" spans="1:14" s="21" customFormat="1" ht="15" customHeight="1">
      <c r="A16" s="20"/>
      <c r="B16" s="18"/>
      <c r="C16" s="18"/>
      <c r="D16" s="29"/>
      <c r="F16" s="23"/>
      <c r="G16" s="94"/>
      <c r="H16" s="94"/>
      <c r="I16" s="94"/>
      <c r="J16" s="94"/>
      <c r="K16" s="23"/>
    </row>
  </sheetData>
  <mergeCells count="8">
    <mergeCell ref="A1:N1"/>
    <mergeCell ref="G16:J16"/>
    <mergeCell ref="G12:J14"/>
    <mergeCell ref="C4:D4"/>
    <mergeCell ref="A2:N2"/>
    <mergeCell ref="A5:N6"/>
    <mergeCell ref="A7:N7"/>
    <mergeCell ref="G9:J10"/>
  </mergeCells>
  <pageMargins left="0.7" right="0.7" top="0.75" bottom="0.75" header="0.3" footer="0.3"/>
  <pageSetup paperSize="9" orientation="landscape" verticalDpi="0" r:id="rId1"/>
  <headerFooter>
    <oddHeader xml:space="preserve">&amp;R&amp;10&amp;F 
&amp;A
</oddHeader>
    <oddFooter>&amp;L&amp;10© 2016&amp;C&amp;10Page &amp;P of &amp;N&amp;R&amp;G</oddFoot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27"/>
  <sheetViews>
    <sheetView showGridLines="0" workbookViewId="0"/>
    <sheetView workbookViewId="1"/>
  </sheetViews>
  <sheetFormatPr defaultColWidth="9.140625" defaultRowHeight="15"/>
  <cols>
    <col min="1" max="1" width="1.42578125" customWidth="1"/>
    <col min="2" max="2" width="2.85546875" customWidth="1"/>
    <col min="3" max="3" width="13.140625" customWidth="1"/>
    <col min="4" max="4" width="2.85546875" customWidth="1"/>
    <col min="5" max="7" width="1.42578125" customWidth="1"/>
    <col min="8" max="8" width="2.85546875" customWidth="1"/>
    <col min="9" max="9" width="42.85546875" customWidth="1"/>
    <col min="10" max="11" width="1.42578125" customWidth="1"/>
    <col min="12" max="12" width="31.42578125" customWidth="1"/>
    <col min="13" max="14" width="1.42578125" customWidth="1"/>
    <col min="15" max="15" width="2.85546875" customWidth="1"/>
    <col min="16" max="16" width="32.5703125" customWidth="1"/>
    <col min="17" max="17" width="2.85546875" customWidth="1"/>
    <col min="18" max="18" width="1.42578125" customWidth="1"/>
    <col min="23" max="23" width="17.85546875" bestFit="1" customWidth="1"/>
  </cols>
  <sheetData>
    <row r="1" spans="1:19" s="32" customFormat="1" ht="45" customHeight="1">
      <c r="A1" s="13" t="s">
        <v>3</v>
      </c>
      <c r="B1" s="13"/>
      <c r="C1" s="13"/>
      <c r="D1" s="13"/>
      <c r="E1" s="13"/>
      <c r="F1" s="13"/>
      <c r="G1" s="13"/>
      <c r="H1" s="13"/>
      <c r="I1" s="13"/>
      <c r="J1" s="6"/>
      <c r="K1" s="6"/>
      <c r="L1" s="6"/>
      <c r="M1" s="6"/>
      <c r="N1" s="6"/>
      <c r="O1" s="6"/>
      <c r="P1" s="6"/>
      <c r="Q1" s="6"/>
      <c r="R1" s="6"/>
    </row>
    <row r="2" spans="1:19" s="33" customFormat="1" ht="30" customHeight="1">
      <c r="A2" s="14" t="e" cm="1">
        <f t="array" aca="1" ref="A2" ca="1">MID(CELL("filename",C1),FIND("]",CELL("filename",C1))+1,255)</f>
        <v>#VALUE!</v>
      </c>
      <c r="B2" s="14"/>
      <c r="C2" s="14"/>
      <c r="D2" s="14"/>
      <c r="E2" s="14"/>
      <c r="F2" s="14"/>
      <c r="G2" s="14"/>
      <c r="H2" s="14"/>
      <c r="I2" s="14"/>
      <c r="J2" s="7"/>
      <c r="K2" s="7"/>
      <c r="L2" s="7"/>
      <c r="M2" s="7"/>
      <c r="N2" s="7"/>
      <c r="O2" s="7"/>
      <c r="P2" s="7"/>
      <c r="Q2" s="7"/>
      <c r="R2" s="7"/>
    </row>
    <row r="3" spans="1:19" s="2" customFormat="1" ht="7.5" customHeight="1"/>
    <row r="4" spans="1:19" s="2" customFormat="1" ht="22.5" customHeight="1">
      <c r="A4" s="1"/>
      <c r="B4" s="99" t="s">
        <v>4</v>
      </c>
      <c r="C4" s="99"/>
      <c r="D4" s="99"/>
      <c r="E4" s="99"/>
      <c r="F4" s="99"/>
      <c r="G4" s="99"/>
      <c r="H4" s="99"/>
      <c r="I4" s="99"/>
      <c r="K4" s="1"/>
      <c r="L4" s="99" t="s">
        <v>5</v>
      </c>
      <c r="M4" s="99"/>
      <c r="N4" s="99"/>
      <c r="O4" s="99"/>
      <c r="P4" s="99"/>
      <c r="Q4" s="38"/>
      <c r="R4" s="38"/>
    </row>
    <row r="5" spans="1:19" s="2" customFormat="1" ht="15" customHeight="1">
      <c r="A5" s="15"/>
      <c r="B5" s="8" t="s">
        <v>6</v>
      </c>
      <c r="C5" s="52" t="s">
        <v>7</v>
      </c>
      <c r="D5" s="16"/>
      <c r="E5" s="16"/>
      <c r="F5" s="16"/>
      <c r="G5" s="16"/>
      <c r="H5" s="16"/>
      <c r="I5" s="16"/>
      <c r="K5" s="1"/>
      <c r="L5" s="9"/>
      <c r="M5" s="9"/>
      <c r="N5" s="102"/>
      <c r="O5" s="102"/>
      <c r="P5" s="102"/>
      <c r="Q5" s="102"/>
      <c r="R5" s="38"/>
    </row>
    <row r="6" spans="1:19" s="2" customFormat="1" ht="15" customHeight="1">
      <c r="A6" s="15"/>
      <c r="B6" s="8" t="s">
        <v>6</v>
      </c>
      <c r="C6" s="52" t="s">
        <v>8</v>
      </c>
      <c r="D6" s="16"/>
      <c r="E6" s="16"/>
      <c r="F6" s="16"/>
      <c r="G6" s="16"/>
      <c r="H6" s="16"/>
      <c r="I6" s="16"/>
      <c r="K6" s="1"/>
      <c r="L6" s="9" t="s">
        <v>9</v>
      </c>
      <c r="M6" s="9"/>
      <c r="N6" s="9" t="s">
        <v>10</v>
      </c>
      <c r="O6" s="9"/>
      <c r="P6" s="57"/>
      <c r="Q6" s="57"/>
      <c r="R6" s="38"/>
    </row>
    <row r="7" spans="1:19" s="2" customFormat="1" ht="15" customHeight="1">
      <c r="A7" s="3"/>
      <c r="B7" s="8" t="s">
        <v>6</v>
      </c>
      <c r="C7" s="52" t="s">
        <v>11</v>
      </c>
      <c r="D7" s="16"/>
      <c r="E7" s="16"/>
      <c r="F7" s="16"/>
      <c r="G7" s="16"/>
      <c r="H7" s="16"/>
      <c r="I7" s="16"/>
      <c r="K7" s="15"/>
      <c r="L7" s="9" t="s">
        <v>12</v>
      </c>
      <c r="M7" s="9"/>
      <c r="N7" s="100">
        <v>45930</v>
      </c>
      <c r="O7" s="100"/>
      <c r="P7" s="100"/>
      <c r="Q7" s="100"/>
      <c r="R7" s="38"/>
    </row>
    <row r="8" spans="1:19" s="2" customFormat="1" ht="15" customHeight="1">
      <c r="A8" s="16"/>
      <c r="B8" s="8" t="s">
        <v>6</v>
      </c>
      <c r="C8" s="52" t="s">
        <v>13</v>
      </c>
      <c r="D8" s="16"/>
      <c r="E8" s="16"/>
      <c r="F8" s="16"/>
      <c r="G8" s="16"/>
      <c r="H8" s="16"/>
      <c r="I8" s="16"/>
      <c r="K8" s="3"/>
      <c r="L8" s="9" t="s">
        <v>14</v>
      </c>
      <c r="M8" s="9"/>
      <c r="N8" s="100">
        <v>45930</v>
      </c>
      <c r="O8" s="100"/>
      <c r="P8" s="100"/>
      <c r="Q8" s="100"/>
      <c r="R8" s="38"/>
      <c r="S8" s="74"/>
    </row>
    <row r="9" spans="1:19" s="2" customFormat="1" ht="15" customHeight="1">
      <c r="A9" s="16"/>
      <c r="B9" s="8" t="s">
        <v>6</v>
      </c>
      <c r="C9" s="52" t="s">
        <v>15</v>
      </c>
      <c r="D9" s="16"/>
      <c r="E9" s="16"/>
      <c r="F9" s="16"/>
      <c r="G9" s="16"/>
      <c r="H9" s="16"/>
      <c r="I9" s="16"/>
      <c r="K9" s="16"/>
      <c r="L9" s="9" t="s">
        <v>16</v>
      </c>
      <c r="M9" s="9"/>
      <c r="N9" s="102" t="s">
        <v>17</v>
      </c>
      <c r="O9" s="102"/>
      <c r="P9" s="102"/>
      <c r="Q9" s="102"/>
      <c r="R9" s="38"/>
    </row>
    <row r="10" spans="1:19" s="2" customFormat="1" ht="15" customHeight="1">
      <c r="A10" s="39"/>
      <c r="B10" s="36"/>
      <c r="C10" s="39"/>
      <c r="D10" s="39"/>
      <c r="E10" s="39"/>
      <c r="F10" s="39"/>
      <c r="G10" s="39"/>
      <c r="H10" s="39"/>
      <c r="I10" s="39"/>
      <c r="K10" s="16"/>
      <c r="L10" s="9" t="s">
        <v>18</v>
      </c>
      <c r="M10" s="9"/>
      <c r="N10" s="102" t="s">
        <v>19</v>
      </c>
      <c r="O10" s="102"/>
      <c r="P10" s="102"/>
      <c r="Q10" s="102"/>
      <c r="R10" s="38"/>
    </row>
    <row r="11" spans="1:19" s="2" customFormat="1" ht="15" customHeight="1">
      <c r="A11" s="37"/>
      <c r="B11" s="37"/>
      <c r="C11" s="37"/>
      <c r="D11" s="37"/>
      <c r="E11" s="37"/>
      <c r="F11" s="37"/>
      <c r="G11" s="37"/>
      <c r="H11" s="37"/>
      <c r="I11" s="37"/>
      <c r="K11" s="16"/>
      <c r="L11" s="9" t="s">
        <v>20</v>
      </c>
      <c r="M11" s="9"/>
      <c r="N11" s="103">
        <v>1</v>
      </c>
      <c r="O11" s="103"/>
      <c r="P11" s="103"/>
      <c r="Q11" s="103"/>
      <c r="R11" s="44"/>
    </row>
    <row r="12" spans="1:19" s="2" customFormat="1" ht="15" customHeight="1" thickBot="1">
      <c r="A12" s="42"/>
      <c r="B12" s="42"/>
      <c r="C12" s="42"/>
      <c r="D12" s="42"/>
      <c r="E12" s="42"/>
      <c r="F12" s="42"/>
      <c r="G12" s="42"/>
      <c r="H12" s="42"/>
      <c r="I12" s="42"/>
      <c r="K12" s="4"/>
      <c r="L12" s="56"/>
      <c r="M12" s="56"/>
      <c r="N12" s="45"/>
      <c r="O12" s="46"/>
      <c r="P12" s="46"/>
      <c r="Q12" s="47"/>
      <c r="R12" s="48"/>
    </row>
    <row r="13" spans="1:19" s="2" customFormat="1" ht="7.5" customHeight="1">
      <c r="K13" s="23"/>
      <c r="L13" s="23"/>
      <c r="M13" s="23"/>
      <c r="N13" s="23"/>
      <c r="O13" s="23"/>
      <c r="P13" s="23"/>
      <c r="Q13" s="23"/>
      <c r="R13" s="23"/>
    </row>
    <row r="14" spans="1:19" s="2" customFormat="1" ht="22.5" customHeight="1">
      <c r="A14" s="52"/>
      <c r="B14" s="104" t="s">
        <v>21</v>
      </c>
      <c r="C14" s="104"/>
      <c r="D14" s="104"/>
      <c r="E14" s="104"/>
      <c r="F14" s="104"/>
      <c r="G14" s="104"/>
      <c r="H14" s="104"/>
      <c r="I14" s="104"/>
      <c r="J14" s="104"/>
      <c r="K14" s="104"/>
      <c r="L14" s="104"/>
      <c r="N14" s="1"/>
      <c r="O14" s="99" t="s">
        <v>22</v>
      </c>
      <c r="P14" s="99"/>
      <c r="Q14" s="99"/>
      <c r="R14" s="55"/>
    </row>
    <row r="15" spans="1:19" s="2" customFormat="1" ht="15" customHeight="1">
      <c r="A15" s="53"/>
      <c r="B15" s="101"/>
      <c r="C15" s="101"/>
      <c r="D15" s="101"/>
      <c r="E15" s="101"/>
      <c r="F15" s="101"/>
      <c r="G15" s="101"/>
      <c r="H15" s="101"/>
      <c r="I15" s="101"/>
      <c r="J15" s="101"/>
      <c r="K15" s="101"/>
      <c r="L15" s="101"/>
      <c r="N15" s="15"/>
      <c r="O15" s="25"/>
      <c r="P15" s="20"/>
      <c r="Q15" s="20"/>
      <c r="R15" s="53"/>
    </row>
    <row r="16" spans="1:19" s="2" customFormat="1" ht="15" customHeight="1">
      <c r="A16" s="53"/>
      <c r="B16" s="101"/>
      <c r="C16" s="101"/>
      <c r="D16" s="101"/>
      <c r="E16" s="101"/>
      <c r="F16" s="101"/>
      <c r="G16" s="101"/>
      <c r="H16" s="101"/>
      <c r="I16" s="101"/>
      <c r="J16" s="101"/>
      <c r="K16" s="101"/>
      <c r="L16" s="101"/>
      <c r="N16" s="3"/>
      <c r="O16" s="25"/>
      <c r="P16" s="49" t="s">
        <v>23</v>
      </c>
      <c r="Q16" s="20"/>
      <c r="R16" s="53"/>
    </row>
    <row r="17" spans="1:18" s="2" customFormat="1" ht="15" customHeight="1">
      <c r="A17" s="53"/>
      <c r="B17" s="101"/>
      <c r="C17" s="101"/>
      <c r="D17" s="101"/>
      <c r="E17" s="101"/>
      <c r="F17" s="101"/>
      <c r="G17" s="101"/>
      <c r="H17" s="101"/>
      <c r="I17" s="101"/>
      <c r="J17" s="101"/>
      <c r="K17" s="101"/>
      <c r="L17" s="101"/>
      <c r="N17" s="16"/>
      <c r="O17" s="25"/>
      <c r="P17" s="34" t="s">
        <v>24</v>
      </c>
      <c r="Q17" s="20"/>
      <c r="R17" s="53"/>
    </row>
    <row r="18" spans="1:18" s="2" customFormat="1" ht="15" customHeight="1">
      <c r="A18" s="53"/>
      <c r="B18" s="101"/>
      <c r="C18" s="101"/>
      <c r="D18" s="101"/>
      <c r="E18" s="101"/>
      <c r="F18" s="101"/>
      <c r="G18" s="101"/>
      <c r="H18" s="101"/>
      <c r="I18" s="101"/>
      <c r="J18" s="101"/>
      <c r="K18" s="101"/>
      <c r="L18" s="101"/>
      <c r="N18" s="16"/>
      <c r="O18" s="25"/>
      <c r="P18" t="s">
        <v>25</v>
      </c>
      <c r="Q18" s="20"/>
      <c r="R18" s="53"/>
    </row>
    <row r="19" spans="1:18" s="2" customFormat="1" ht="15" customHeight="1">
      <c r="A19" s="37"/>
      <c r="B19" s="101"/>
      <c r="C19" s="101"/>
      <c r="D19" s="101"/>
      <c r="E19" s="101"/>
      <c r="F19" s="101"/>
      <c r="G19" s="101"/>
      <c r="H19" s="101"/>
      <c r="I19" s="101"/>
      <c r="J19" s="101"/>
      <c r="K19" s="101"/>
      <c r="L19" s="101"/>
      <c r="N19" s="37"/>
      <c r="O19" s="50"/>
      <c r="P19" s="50"/>
      <c r="Q19" s="50"/>
      <c r="R19" s="37"/>
    </row>
    <row r="20" spans="1:18" ht="15.75" thickBot="1">
      <c r="A20" s="42"/>
      <c r="B20" s="42"/>
      <c r="C20" s="42"/>
      <c r="D20" s="54"/>
      <c r="E20" s="54"/>
      <c r="F20" s="54"/>
      <c r="G20" s="54"/>
      <c r="H20" s="54"/>
      <c r="I20" s="54"/>
      <c r="J20" s="54"/>
      <c r="K20" s="54"/>
      <c r="L20" s="54"/>
      <c r="N20" s="42"/>
      <c r="O20" s="42"/>
      <c r="P20" s="42"/>
      <c r="Q20" s="42"/>
      <c r="R20" s="42"/>
    </row>
    <row r="21" spans="1:18">
      <c r="Q21" s="51"/>
      <c r="R21" s="31"/>
    </row>
    <row r="22" spans="1:18"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</row>
    <row r="23" spans="1:18"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</row>
    <row r="24" spans="1:18">
      <c r="F24" s="31"/>
      <c r="G24" s="31"/>
      <c r="H24" s="31"/>
      <c r="I24" s="31"/>
      <c r="J24" s="31"/>
      <c r="K24" s="31"/>
      <c r="L24" s="31"/>
      <c r="M24" s="31"/>
      <c r="N24" s="30"/>
      <c r="O24" s="30"/>
      <c r="P24" s="30"/>
      <c r="Q24" s="30"/>
    </row>
    <row r="25" spans="1:18"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</row>
    <row r="26" spans="1:18"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</row>
    <row r="27" spans="1:18"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</row>
  </sheetData>
  <mergeCells count="20">
    <mergeCell ref="B15:C15"/>
    <mergeCell ref="B16:C16"/>
    <mergeCell ref="B17:C17"/>
    <mergeCell ref="B18:C18"/>
    <mergeCell ref="L4:P4"/>
    <mergeCell ref="B4:I4"/>
    <mergeCell ref="B14:L14"/>
    <mergeCell ref="N7:Q7"/>
    <mergeCell ref="B19:C19"/>
    <mergeCell ref="D17:L17"/>
    <mergeCell ref="D18:L18"/>
    <mergeCell ref="D19:L19"/>
    <mergeCell ref="N5:Q5"/>
    <mergeCell ref="N8:Q8"/>
    <mergeCell ref="N9:Q9"/>
    <mergeCell ref="N10:Q10"/>
    <mergeCell ref="N11:Q11"/>
    <mergeCell ref="O14:Q14"/>
    <mergeCell ref="D15:L15"/>
    <mergeCell ref="D16:L16"/>
  </mergeCells>
  <pageMargins left="0.7" right="0.7" top="0.75" bottom="0.75" header="0.3" footer="0.3"/>
  <pageSetup paperSize="9" orientation="landscape" verticalDpi="0" r:id="rId1"/>
  <headerFooter>
    <oddHeader xml:space="preserve">&amp;R&amp;10&amp;F 
&amp;A
</oddHeader>
    <oddFooter>&amp;L&amp;10© 2016&amp;C&amp;10Page &amp;P of &amp;N&amp;R&amp;G</oddFooter>
  </headerFooter>
  <drawing r:id="rId2"/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129"/>
  <sheetViews>
    <sheetView tabSelected="1" zoomScale="190" zoomScaleNormal="190" workbookViewId="0">
      <selection activeCell="C119" sqref="C119:F119"/>
    </sheetView>
    <sheetView tabSelected="1" topLeftCell="A71" workbookViewId="1">
      <selection activeCell="G106" sqref="G106"/>
    </sheetView>
  </sheetViews>
  <sheetFormatPr defaultRowHeight="15"/>
  <cols>
    <col min="1" max="1" width="1.5703125" customWidth="1"/>
    <col min="2" max="2" width="20.5703125" customWidth="1"/>
    <col min="3" max="15" width="11.140625" customWidth="1"/>
  </cols>
  <sheetData>
    <row r="1" spans="1:15" ht="28.5">
      <c r="A1" s="5" t="str">
        <f>Title</f>
        <v>Hologic LBO</v>
      </c>
      <c r="B1" s="10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</row>
    <row r="2" spans="1:15" ht="21">
      <c r="A2" s="14" t="s">
        <v>26</v>
      </c>
      <c r="B2" s="7"/>
      <c r="C2" s="11" t="s">
        <v>27</v>
      </c>
      <c r="D2" s="11" t="s">
        <v>27</v>
      </c>
      <c r="E2" s="11"/>
      <c r="F2" s="11"/>
      <c r="G2" s="11"/>
      <c r="H2" s="11" t="s">
        <v>28</v>
      </c>
      <c r="I2" s="11" t="s">
        <v>28</v>
      </c>
      <c r="J2" s="11" t="s">
        <v>28</v>
      </c>
      <c r="K2" s="11" t="s">
        <v>28</v>
      </c>
      <c r="L2" s="11" t="s">
        <v>28</v>
      </c>
      <c r="M2" s="11" t="s">
        <v>28</v>
      </c>
      <c r="N2" s="11" t="s">
        <v>28</v>
      </c>
      <c r="O2" s="11" t="s">
        <v>28</v>
      </c>
    </row>
    <row r="3" spans="1:15" ht="21">
      <c r="A3" s="14" t="e" cm="1">
        <f t="array" aca="1" ref="A3" ca="1">MID(CELL("filename",A3),FIND("]",CELL("filename",A3))+1,255)</f>
        <v>#VALUE!</v>
      </c>
      <c r="B3" s="7"/>
      <c r="C3" s="11">
        <f>EDATE(D3,-12)</f>
        <v>45565</v>
      </c>
      <c r="D3" s="11">
        <f>target_yrend</f>
        <v>45930</v>
      </c>
      <c r="E3" s="11" t="s">
        <v>29</v>
      </c>
      <c r="F3" s="11" t="s">
        <v>30</v>
      </c>
      <c r="G3" s="11" t="s">
        <v>31</v>
      </c>
      <c r="H3" s="11">
        <f>EDATE(D3,12)</f>
        <v>46295</v>
      </c>
      <c r="I3" s="11">
        <f t="shared" ref="I3:O3" si="0">EDATE(H3,12)</f>
        <v>46660</v>
      </c>
      <c r="J3" s="11">
        <f t="shared" si="0"/>
        <v>47026</v>
      </c>
      <c r="K3" s="11">
        <f t="shared" si="0"/>
        <v>47391</v>
      </c>
      <c r="L3" s="11">
        <f t="shared" si="0"/>
        <v>47756</v>
      </c>
      <c r="M3" s="11">
        <f t="shared" si="0"/>
        <v>48121</v>
      </c>
      <c r="N3" s="11">
        <f t="shared" si="0"/>
        <v>48487</v>
      </c>
      <c r="O3" s="11">
        <f t="shared" si="0"/>
        <v>48852</v>
      </c>
    </row>
    <row r="4" spans="1:15">
      <c r="B4" s="90" t="s">
        <v>32</v>
      </c>
      <c r="C4" s="90"/>
      <c r="D4" s="91">
        <f>D14/IS!D7</f>
        <v>4.4513121326667493</v>
      </c>
    </row>
    <row r="5" spans="1:15">
      <c r="A5" s="60" t="s">
        <v>33</v>
      </c>
    </row>
    <row r="6" spans="1:15">
      <c r="A6" s="60"/>
      <c r="B6" t="s">
        <v>34</v>
      </c>
      <c r="D6" s="66">
        <v>54.1</v>
      </c>
    </row>
    <row r="7" spans="1:15">
      <c r="A7" s="60"/>
      <c r="B7" t="s">
        <v>35</v>
      </c>
      <c r="D7" s="77">
        <v>0.46</v>
      </c>
      <c r="F7" s="60" t="s">
        <v>36</v>
      </c>
    </row>
    <row r="8" spans="1:15">
      <c r="A8" s="60"/>
      <c r="B8" t="s">
        <v>37</v>
      </c>
      <c r="D8" s="85">
        <f>D6*(1+D7)</f>
        <v>78.986000000000004</v>
      </c>
      <c r="F8" s="90" t="s">
        <v>38</v>
      </c>
      <c r="H8" s="66">
        <v>1000</v>
      </c>
      <c r="I8" s="66">
        <v>1500</v>
      </c>
    </row>
    <row r="9" spans="1:15">
      <c r="A9" s="60"/>
      <c r="B9" t="s">
        <v>39</v>
      </c>
      <c r="D9" s="66">
        <v>222.9</v>
      </c>
      <c r="F9" s="90" t="s">
        <v>40</v>
      </c>
      <c r="H9" s="65">
        <v>4</v>
      </c>
      <c r="I9" s="65">
        <v>4</v>
      </c>
    </row>
    <row r="10" spans="1:15">
      <c r="A10" s="60"/>
      <c r="B10" t="s">
        <v>41</v>
      </c>
      <c r="D10">
        <f>SUM(E29:E30)</f>
        <v>2.8261464056921479</v>
      </c>
      <c r="F10" s="90" t="s">
        <v>42</v>
      </c>
      <c r="H10">
        <f>H8/H9</f>
        <v>250</v>
      </c>
      <c r="I10">
        <f t="shared" ref="I10" si="1">I8/I9</f>
        <v>375</v>
      </c>
    </row>
    <row r="11" spans="1:15">
      <c r="A11" s="60"/>
      <c r="B11" t="s">
        <v>43</v>
      </c>
      <c r="D11">
        <f>SUM(D9:D10)</f>
        <v>225.72614640569216</v>
      </c>
      <c r="F11" s="90"/>
    </row>
    <row r="12" spans="1:15">
      <c r="B12" t="s">
        <v>44</v>
      </c>
      <c r="D12">
        <f>D8*D11</f>
        <v>17829.205400000003</v>
      </c>
      <c r="F12" s="90" t="s">
        <v>45</v>
      </c>
      <c r="H12">
        <v>1</v>
      </c>
      <c r="I12">
        <f>H12+1</f>
        <v>2</v>
      </c>
      <c r="J12">
        <f t="shared" ref="J12:O12" si="2">I12+1</f>
        <v>3</v>
      </c>
      <c r="K12">
        <f t="shared" si="2"/>
        <v>4</v>
      </c>
      <c r="L12">
        <f t="shared" si="2"/>
        <v>5</v>
      </c>
      <c r="M12">
        <f t="shared" si="2"/>
        <v>6</v>
      </c>
      <c r="N12">
        <f t="shared" si="2"/>
        <v>7</v>
      </c>
      <c r="O12">
        <f t="shared" si="2"/>
        <v>8</v>
      </c>
    </row>
    <row r="13" spans="1:15">
      <c r="B13" t="s">
        <v>46</v>
      </c>
      <c r="D13">
        <f>BS!D16+BS!D21-BS!D5</f>
        <v>423.40000000000009</v>
      </c>
      <c r="F13" s="90" t="s">
        <v>47</v>
      </c>
      <c r="H13" s="77">
        <v>0.04</v>
      </c>
      <c r="I13" s="77">
        <v>0.05</v>
      </c>
      <c r="J13" s="77">
        <v>0.04</v>
      </c>
      <c r="K13" s="77">
        <v>0.04</v>
      </c>
      <c r="L13" s="77">
        <v>0.04</v>
      </c>
      <c r="M13" s="77">
        <v>0.04</v>
      </c>
      <c r="N13" s="77">
        <v>0.04</v>
      </c>
      <c r="O13" s="77">
        <v>0.04</v>
      </c>
    </row>
    <row r="14" spans="1:15">
      <c r="B14" t="s">
        <v>48</v>
      </c>
      <c r="D14">
        <f>D12+D13</f>
        <v>18252.605400000004</v>
      </c>
      <c r="F14" s="90" t="s">
        <v>49</v>
      </c>
      <c r="H14" s="77">
        <v>0.7</v>
      </c>
      <c r="I14" s="77">
        <v>0.65</v>
      </c>
      <c r="J14" s="77">
        <v>0.6</v>
      </c>
      <c r="K14" s="77">
        <v>0.6</v>
      </c>
      <c r="L14" s="77">
        <v>0.6</v>
      </c>
      <c r="M14" s="77">
        <v>0.6</v>
      </c>
      <c r="N14" s="77">
        <v>0.6</v>
      </c>
      <c r="O14" s="77">
        <v>0.6</v>
      </c>
    </row>
    <row r="15" spans="1:15">
      <c r="B15" t="s">
        <v>50</v>
      </c>
      <c r="D15">
        <f>IS!D23</f>
        <v>1077.7000000000003</v>
      </c>
    </row>
    <row r="16" spans="1:15">
      <c r="B16" t="s">
        <v>51</v>
      </c>
      <c r="D16" s="81">
        <f>D14/D15</f>
        <v>16.936629303145587</v>
      </c>
      <c r="F16" s="90" t="s">
        <v>52</v>
      </c>
      <c r="I16">
        <f>H10*(1+H13)</f>
        <v>260</v>
      </c>
      <c r="J16">
        <f>I16*(1+I13)</f>
        <v>273</v>
      </c>
      <c r="K16">
        <f t="shared" ref="K16:L16" si="3">J16*(1+J13)</f>
        <v>283.92</v>
      </c>
      <c r="L16">
        <f t="shared" si="3"/>
        <v>295.27680000000004</v>
      </c>
      <c r="M16">
        <f t="shared" ref="M16:O16" si="4">L16*(1+L13)</f>
        <v>307.08787200000006</v>
      </c>
      <c r="N16">
        <f t="shared" si="4"/>
        <v>319.3713868800001</v>
      </c>
      <c r="O16">
        <f t="shared" si="4"/>
        <v>332.14624235520012</v>
      </c>
    </row>
    <row r="17" spans="1:15">
      <c r="B17" t="s">
        <v>53</v>
      </c>
      <c r="D17" s="65">
        <f>D16</f>
        <v>16.936629303145587</v>
      </c>
      <c r="F17" s="90" t="s">
        <v>54</v>
      </c>
      <c r="J17">
        <f>I10*(1+H13)</f>
        <v>390</v>
      </c>
      <c r="K17">
        <f>J17*(1+I13)</f>
        <v>409.5</v>
      </c>
      <c r="L17">
        <f>K17*(1+J13)</f>
        <v>425.88</v>
      </c>
      <c r="M17">
        <f t="shared" ref="M17:O17" si="5">L17*(1+K13)</f>
        <v>442.91520000000003</v>
      </c>
      <c r="N17">
        <f t="shared" si="5"/>
        <v>460.63180800000004</v>
      </c>
      <c r="O17">
        <f t="shared" si="5"/>
        <v>479.05708032000007</v>
      </c>
    </row>
    <row r="18" spans="1:15">
      <c r="B18" t="s">
        <v>55</v>
      </c>
      <c r="D18" s="67">
        <v>0.02</v>
      </c>
      <c r="F18" s="90" t="s">
        <v>56</v>
      </c>
      <c r="H18">
        <f>SUM(H16:H17)</f>
        <v>0</v>
      </c>
      <c r="I18">
        <f t="shared" ref="I18:L18" si="6">SUM(I16:I17)</f>
        <v>260</v>
      </c>
      <c r="J18">
        <f t="shared" si="6"/>
        <v>663</v>
      </c>
      <c r="K18">
        <f t="shared" si="6"/>
        <v>693.42000000000007</v>
      </c>
      <c r="L18">
        <f t="shared" si="6"/>
        <v>721.15679999999998</v>
      </c>
      <c r="M18">
        <f t="shared" ref="M18" si="7">SUM(M16:M17)</f>
        <v>750.00307200000009</v>
      </c>
      <c r="N18">
        <f t="shared" ref="N18" si="8">SUM(N16:N17)</f>
        <v>780.00319488000014</v>
      </c>
      <c r="O18">
        <f t="shared" ref="O18" si="9">SUM(O16:O17)</f>
        <v>811.20332267520018</v>
      </c>
    </row>
    <row r="19" spans="1:15">
      <c r="B19" t="s">
        <v>57</v>
      </c>
      <c r="D19" s="67">
        <v>4.0500000000000001E-2</v>
      </c>
      <c r="F19" s="90"/>
    </row>
    <row r="20" spans="1:15">
      <c r="B20" t="s">
        <v>58</v>
      </c>
      <c r="D20" s="66">
        <v>5</v>
      </c>
      <c r="F20" s="90" t="s">
        <v>59</v>
      </c>
      <c r="I20">
        <f>I16*H14</f>
        <v>182</v>
      </c>
      <c r="J20">
        <f t="shared" ref="J20:L20" si="10">J16*I14</f>
        <v>177.45000000000002</v>
      </c>
      <c r="K20">
        <f t="shared" si="10"/>
        <v>170.352</v>
      </c>
      <c r="L20">
        <f t="shared" si="10"/>
        <v>177.16608000000002</v>
      </c>
      <c r="M20">
        <f t="shared" ref="M20:O20" si="11">M16*L14</f>
        <v>184.25272320000002</v>
      </c>
      <c r="N20">
        <f t="shared" si="11"/>
        <v>191.62283212800006</v>
      </c>
      <c r="O20">
        <f t="shared" si="11"/>
        <v>199.28774541312006</v>
      </c>
    </row>
    <row r="21" spans="1:15">
      <c r="B21" t="s">
        <v>60</v>
      </c>
      <c r="D21" s="67">
        <v>0.75</v>
      </c>
      <c r="F21" s="90" t="s">
        <v>61</v>
      </c>
      <c r="J21">
        <f>J17*H14</f>
        <v>273</v>
      </c>
      <c r="K21">
        <f t="shared" ref="K21:L21" si="12">K17*I14</f>
        <v>266.17500000000001</v>
      </c>
      <c r="L21">
        <f t="shared" si="12"/>
        <v>255.52799999999999</v>
      </c>
      <c r="M21">
        <f t="shared" ref="M21" si="13">M17*K14</f>
        <v>265.74912</v>
      </c>
      <c r="N21">
        <f t="shared" ref="N21" si="14">N17*L14</f>
        <v>276.37908479999999</v>
      </c>
      <c r="O21">
        <f t="shared" ref="O21" si="15">O17*M14</f>
        <v>287.43424819200004</v>
      </c>
    </row>
    <row r="22" spans="1:15">
      <c r="B22" t="s">
        <v>62</v>
      </c>
      <c r="D22" s="67">
        <v>0.03</v>
      </c>
      <c r="F22" s="90" t="s">
        <v>56</v>
      </c>
      <c r="H22">
        <f>SUM(H20:H21)</f>
        <v>0</v>
      </c>
      <c r="I22">
        <f t="shared" ref="I22:L22" si="16">SUM(I20:I21)</f>
        <v>182</v>
      </c>
      <c r="J22">
        <f t="shared" si="16"/>
        <v>450.45000000000005</v>
      </c>
      <c r="K22">
        <f t="shared" si="16"/>
        <v>436.52700000000004</v>
      </c>
      <c r="L22">
        <f t="shared" si="16"/>
        <v>432.69407999999999</v>
      </c>
      <c r="M22">
        <f t="shared" ref="M22" si="17">SUM(M20:M21)</f>
        <v>450.00184320000005</v>
      </c>
      <c r="N22">
        <f t="shared" ref="N22" si="18">SUM(N20:N21)</f>
        <v>468.00191692800001</v>
      </c>
      <c r="O22">
        <f t="shared" ref="O22" si="19">SUM(O20:O21)</f>
        <v>486.72199360512013</v>
      </c>
    </row>
    <row r="23" spans="1:15">
      <c r="B23" t="s">
        <v>63</v>
      </c>
      <c r="D23" s="66">
        <v>750</v>
      </c>
    </row>
    <row r="24" spans="1:15">
      <c r="B24" t="s">
        <v>13</v>
      </c>
      <c r="D24" s="70">
        <v>5.0000000000000001E-3</v>
      </c>
    </row>
    <row r="25" spans="1:15">
      <c r="B25" t="s">
        <v>64</v>
      </c>
      <c r="D25" s="70">
        <v>0.05</v>
      </c>
    </row>
    <row r="27" spans="1:15">
      <c r="A27" s="60" t="s">
        <v>41</v>
      </c>
      <c r="C27" s="89"/>
    </row>
    <row r="28" spans="1:15">
      <c r="B28" s="60" t="s">
        <v>65</v>
      </c>
      <c r="C28" s="60" t="s">
        <v>66</v>
      </c>
      <c r="D28" s="60" t="s">
        <v>67</v>
      </c>
      <c r="E28" s="60" t="s">
        <v>68</v>
      </c>
    </row>
    <row r="29" spans="1:15">
      <c r="B29" t="s">
        <v>69</v>
      </c>
      <c r="C29" s="66">
        <v>4.3</v>
      </c>
      <c r="D29" s="66">
        <v>58.3</v>
      </c>
      <c r="E29">
        <f>C29*MAX(0,($D$8-D29)/$D$8)</f>
        <v>1.1261464056921482</v>
      </c>
    </row>
    <row r="30" spans="1:15">
      <c r="B30" t="s">
        <v>70</v>
      </c>
      <c r="C30" s="66">
        <v>1.7</v>
      </c>
      <c r="D30" s="66">
        <v>0</v>
      </c>
      <c r="E30">
        <f>C30*MAX(0,($D$8-D30)/$D$8)</f>
        <v>1.7</v>
      </c>
    </row>
    <row r="32" spans="1:15">
      <c r="A32" s="60" t="s">
        <v>71</v>
      </c>
    </row>
    <row r="33" spans="1:4">
      <c r="B33" t="s">
        <v>65</v>
      </c>
      <c r="C33" t="s">
        <v>72</v>
      </c>
      <c r="D33" t="s">
        <v>73</v>
      </c>
    </row>
    <row r="34" spans="1:4">
      <c r="B34" t="s">
        <v>74</v>
      </c>
      <c r="C34" s="66">
        <v>0</v>
      </c>
      <c r="D34" s="66">
        <v>0</v>
      </c>
    </row>
    <row r="35" spans="1:4">
      <c r="B35" t="s">
        <v>75</v>
      </c>
      <c r="C35" s="66">
        <v>9500</v>
      </c>
      <c r="D35" s="66">
        <v>5000</v>
      </c>
    </row>
    <row r="36" spans="1:4">
      <c r="B36" t="s">
        <v>76</v>
      </c>
      <c r="C36" s="66">
        <v>2000</v>
      </c>
      <c r="D36" s="66">
        <v>2000</v>
      </c>
    </row>
    <row r="37" spans="1:4">
      <c r="B37" t="s">
        <v>77</v>
      </c>
      <c r="C37" s="66">
        <v>0</v>
      </c>
      <c r="D37" s="66">
        <v>1500</v>
      </c>
    </row>
    <row r="38" spans="1:4">
      <c r="B38" t="s">
        <v>78</v>
      </c>
      <c r="C38">
        <f>C40-C39-SUM(C34:C37)</f>
        <v>3302.6575080000039</v>
      </c>
      <c r="D38">
        <f>D40-D39-SUM(D34:D37)</f>
        <v>6302.6575080000039</v>
      </c>
    </row>
    <row r="39" spans="1:4">
      <c r="B39" t="s">
        <v>79</v>
      </c>
      <c r="C39" s="66">
        <v>4000</v>
      </c>
      <c r="D39" s="66">
        <f>C39</f>
        <v>4000</v>
      </c>
    </row>
    <row r="40" spans="1:4">
      <c r="B40" t="s">
        <v>80</v>
      </c>
      <c r="C40">
        <f>$C$47</f>
        <v>18802.657508000004</v>
      </c>
      <c r="D40">
        <f>$C$47</f>
        <v>18802.657508000004</v>
      </c>
    </row>
    <row r="42" spans="1:4">
      <c r="A42" s="60" t="s">
        <v>81</v>
      </c>
    </row>
    <row r="43" spans="1:4">
      <c r="B43" t="str">
        <f>B12</f>
        <v>Acquisition equity value</v>
      </c>
      <c r="C43">
        <f>D12</f>
        <v>17829.205400000003</v>
      </c>
    </row>
    <row r="44" spans="1:4">
      <c r="B44" t="s">
        <v>82</v>
      </c>
      <c r="C44">
        <f>D13</f>
        <v>423.40000000000009</v>
      </c>
    </row>
    <row r="45" spans="1:4">
      <c r="B45" t="s">
        <v>83</v>
      </c>
      <c r="C45">
        <f>J60</f>
        <v>185</v>
      </c>
    </row>
    <row r="46" spans="1:4">
      <c r="B46" t="s">
        <v>84</v>
      </c>
      <c r="C46">
        <f>D18*D14</f>
        <v>365.05210800000009</v>
      </c>
    </row>
    <row r="47" spans="1:4">
      <c r="B47" t="s">
        <v>85</v>
      </c>
      <c r="C47">
        <f>SUM(C43:C46)</f>
        <v>18802.657508000004</v>
      </c>
    </row>
    <row r="49" spans="1:11">
      <c r="A49" s="60" t="s">
        <v>86</v>
      </c>
    </row>
    <row r="50" spans="1:11">
      <c r="B50" t="s">
        <v>87</v>
      </c>
      <c r="D50" s="66">
        <v>2</v>
      </c>
    </row>
    <row r="52" spans="1:11">
      <c r="D52" s="63" t="s">
        <v>88</v>
      </c>
    </row>
    <row r="53" spans="1:11">
      <c r="C53" t="s">
        <v>89</v>
      </c>
      <c r="D53" s="63" t="s">
        <v>90</v>
      </c>
      <c r="E53" s="63" t="s">
        <v>91</v>
      </c>
      <c r="F53" s="63" t="s">
        <v>92</v>
      </c>
      <c r="G53" s="63" t="s">
        <v>93</v>
      </c>
      <c r="H53" s="90" t="s">
        <v>94</v>
      </c>
      <c r="I53" s="90" t="s">
        <v>95</v>
      </c>
      <c r="J53" s="90" t="s">
        <v>96</v>
      </c>
      <c r="K53" s="90" t="s">
        <v>97</v>
      </c>
    </row>
    <row r="54" spans="1:11">
      <c r="B54" t="s">
        <v>74</v>
      </c>
      <c r="C54" cm="1">
        <f t="array" ref="C54">INDEX(C34:D34,,$D$50)</f>
        <v>0</v>
      </c>
      <c r="D54" s="64">
        <f>C54/$D$15</f>
        <v>0</v>
      </c>
      <c r="E54" s="62">
        <f t="shared" ref="E54:E59" si="20">C54/$C$60</f>
        <v>0</v>
      </c>
      <c r="F54" s="68">
        <v>2.75E-2</v>
      </c>
      <c r="G54" s="69">
        <f>F54+$D$19</f>
        <v>6.8000000000000005E-2</v>
      </c>
    </row>
    <row r="55" spans="1:11">
      <c r="B55" t="str">
        <f>B35</f>
        <v>Term loan B</v>
      </c>
      <c r="C55" cm="1">
        <f t="array" ref="C55">INDEX(C35:D35,,$D$50)</f>
        <v>5000</v>
      </c>
      <c r="D55" s="64">
        <f>C55/$D$15+D54</f>
        <v>4.6395100677368459</v>
      </c>
      <c r="E55" s="62">
        <f t="shared" si="20"/>
        <v>0.26591985722617351</v>
      </c>
      <c r="F55" s="68">
        <v>2.75E-2</v>
      </c>
      <c r="G55" s="69">
        <f>F55+$D$19</f>
        <v>6.8000000000000005E-2</v>
      </c>
      <c r="H55" s="78">
        <v>0.02</v>
      </c>
      <c r="I55" s="66">
        <v>7</v>
      </c>
      <c r="J55">
        <f>C55*H55</f>
        <v>100</v>
      </c>
      <c r="K55">
        <f>J55/I55</f>
        <v>14.285714285714286</v>
      </c>
    </row>
    <row r="56" spans="1:11">
      <c r="B56" t="str">
        <f>B36</f>
        <v>Subordinated debt</v>
      </c>
      <c r="C56" cm="1">
        <f t="array" ref="C56">INDEX(C36:D36,,$D$50)</f>
        <v>2000</v>
      </c>
      <c r="D56" s="64">
        <f>C56/$D$15+D55</f>
        <v>6.495314094831584</v>
      </c>
      <c r="E56" s="62">
        <f t="shared" si="20"/>
        <v>0.1063679428904694</v>
      </c>
      <c r="F56" s="68">
        <v>0.04</v>
      </c>
      <c r="G56" s="69">
        <f>F56+$D$19</f>
        <v>8.0500000000000002E-2</v>
      </c>
      <c r="H56" s="68">
        <v>0.02</v>
      </c>
      <c r="I56" s="66">
        <v>8</v>
      </c>
      <c r="J56">
        <f t="shared" ref="J56:J57" si="21">C56*H56</f>
        <v>40</v>
      </c>
      <c r="K56">
        <f t="shared" ref="K56:K57" si="22">J56/I56</f>
        <v>5</v>
      </c>
    </row>
    <row r="57" spans="1:11">
      <c r="B57" t="s">
        <v>77</v>
      </c>
      <c r="C57" cm="1">
        <f t="array" ref="C57">INDEX(C37:D37,,$D$50)</f>
        <v>1500</v>
      </c>
      <c r="D57" s="64">
        <f>C57/$D$15+D56</f>
        <v>7.8871671151526375</v>
      </c>
      <c r="E57" s="62">
        <f t="shared" si="20"/>
        <v>7.9775957167852046E-2</v>
      </c>
      <c r="G57" s="78">
        <v>0.12</v>
      </c>
      <c r="H57" s="78">
        <v>0.03</v>
      </c>
      <c r="I57" s="66">
        <v>9</v>
      </c>
      <c r="J57">
        <f t="shared" si="21"/>
        <v>45</v>
      </c>
      <c r="K57">
        <f t="shared" si="22"/>
        <v>5</v>
      </c>
    </row>
    <row r="58" spans="1:11">
      <c r="B58" t="s">
        <v>78</v>
      </c>
      <c r="C58" cm="1">
        <f t="array" ref="C58">INDEX(C38:D38,,$D$50)</f>
        <v>6302.6575080000039</v>
      </c>
      <c r="D58" s="64"/>
      <c r="E58" s="62">
        <f t="shared" si="20"/>
        <v>0.33520035693456629</v>
      </c>
      <c r="G58" s="68">
        <v>0.12</v>
      </c>
    </row>
    <row r="59" spans="1:11">
      <c r="B59" t="s">
        <v>79</v>
      </c>
      <c r="C59" cm="1">
        <f t="array" ref="C59">INDEX(C39:D39,,$D$50)</f>
        <v>4000</v>
      </c>
      <c r="E59" s="62">
        <f t="shared" si="20"/>
        <v>0.2127358857809388</v>
      </c>
    </row>
    <row r="60" spans="1:11">
      <c r="B60" t="s">
        <v>80</v>
      </c>
      <c r="C60">
        <f>SUM(C54:C59)</f>
        <v>18802.657508000004</v>
      </c>
      <c r="E60" s="58">
        <f>SUM(E54:E59)</f>
        <v>1</v>
      </c>
      <c r="H60" s="90"/>
      <c r="I60" s="90"/>
      <c r="J60" s="90">
        <f>SUM(J54:J59)</f>
        <v>185</v>
      </c>
      <c r="K60" s="90">
        <f>SUM(K55:K59)</f>
        <v>24.285714285714285</v>
      </c>
    </row>
    <row r="61" spans="1:11">
      <c r="F61" s="58"/>
    </row>
    <row r="62" spans="1:11">
      <c r="A62" s="60" t="s">
        <v>98</v>
      </c>
      <c r="F62" s="58"/>
    </row>
    <row r="63" spans="1:11">
      <c r="A63" s="60"/>
      <c r="C63" t="s">
        <v>99</v>
      </c>
      <c r="D63" t="s">
        <v>100</v>
      </c>
      <c r="F63" s="58"/>
    </row>
    <row r="64" spans="1:11">
      <c r="A64" s="60"/>
      <c r="B64" t="s">
        <v>101</v>
      </c>
      <c r="C64" s="77">
        <v>0.05</v>
      </c>
      <c r="D64" s="58">
        <f>D67-D65-D66</f>
        <v>4.7500000000000028E-2</v>
      </c>
    </row>
    <row r="65" spans="1:15">
      <c r="A65" s="60"/>
      <c r="B65" t="s">
        <v>102</v>
      </c>
      <c r="C65" s="58">
        <f>C67-C64</f>
        <v>0.95</v>
      </c>
      <c r="D65" s="58">
        <f>C65*(1-D66)</f>
        <v>0.90249999999999997</v>
      </c>
      <c r="F65" s="58"/>
    </row>
    <row r="66" spans="1:15">
      <c r="A66" s="60"/>
      <c r="B66" t="s">
        <v>77</v>
      </c>
      <c r="C66" s="61">
        <v>0</v>
      </c>
      <c r="D66" s="58">
        <f>IF(C57&gt;0,D25,0)</f>
        <v>0.05</v>
      </c>
      <c r="F66" s="86"/>
    </row>
    <row r="67" spans="1:15">
      <c r="A67" s="60"/>
      <c r="B67" t="s">
        <v>56</v>
      </c>
      <c r="C67" s="79">
        <v>1</v>
      </c>
      <c r="D67" s="79">
        <v>1</v>
      </c>
      <c r="F67" s="58"/>
    </row>
    <row r="69" spans="1:15">
      <c r="A69" s="60" t="s">
        <v>103</v>
      </c>
    </row>
    <row r="70" spans="1:15">
      <c r="B70" t="s">
        <v>104</v>
      </c>
      <c r="D70">
        <f>C43</f>
        <v>17829.205400000003</v>
      </c>
    </row>
    <row r="71" spans="1:15">
      <c r="B71" t="s">
        <v>105</v>
      </c>
      <c r="D71">
        <f>BS!D14-BS!D13-BS!D29</f>
        <v>1407</v>
      </c>
    </row>
    <row r="72" spans="1:15">
      <c r="B72" t="s">
        <v>106</v>
      </c>
      <c r="D72">
        <f>D70-D71</f>
        <v>16422.205400000003</v>
      </c>
    </row>
    <row r="74" spans="1:15">
      <c r="A74" s="60" t="s">
        <v>107</v>
      </c>
    </row>
    <row r="75" spans="1:15">
      <c r="B75" t="s">
        <v>108</v>
      </c>
      <c r="H75" s="71">
        <v>1</v>
      </c>
      <c r="I75" s="72">
        <f>H75+1</f>
        <v>2</v>
      </c>
      <c r="J75" s="72">
        <f t="shared" ref="J75:O75" si="23">I75+1</f>
        <v>3</v>
      </c>
      <c r="K75" s="72">
        <f t="shared" si="23"/>
        <v>4</v>
      </c>
      <c r="L75" s="72">
        <f t="shared" si="23"/>
        <v>5</v>
      </c>
      <c r="M75" s="72">
        <f t="shared" si="23"/>
        <v>6</v>
      </c>
      <c r="N75" s="72">
        <f t="shared" si="23"/>
        <v>7</v>
      </c>
      <c r="O75" s="72">
        <f t="shared" si="23"/>
        <v>8</v>
      </c>
    </row>
    <row r="76" spans="1:15">
      <c r="B76" t="s">
        <v>109</v>
      </c>
      <c r="H76">
        <f>IS!H23</f>
        <v>1500.1218625000001</v>
      </c>
      <c r="I76">
        <f>IS!I23</f>
        <v>1689.1045861999996</v>
      </c>
      <c r="J76">
        <f>IS!J23</f>
        <v>1867.2284904447502</v>
      </c>
      <c r="K76">
        <f>IS!K23</f>
        <v>1842.2773495920517</v>
      </c>
      <c r="L76">
        <f>IS!L23</f>
        <v>1865.9268489467081</v>
      </c>
      <c r="M76">
        <f>IS!M23</f>
        <v>1880.5188773624861</v>
      </c>
      <c r="N76">
        <f>IS!N23</f>
        <v>1905.0657426570494</v>
      </c>
      <c r="O76">
        <f>IS!O23</f>
        <v>1938.3725418293843</v>
      </c>
    </row>
    <row r="77" spans="1:15">
      <c r="B77" t="s">
        <v>110</v>
      </c>
      <c r="H77">
        <f t="shared" ref="H77:O77" si="24">H76*$D$17</f>
        <v>25407.007894706836</v>
      </c>
      <c r="I77">
        <f t="shared" si="24"/>
        <v>28607.738230712515</v>
      </c>
      <c r="J77">
        <f t="shared" si="24"/>
        <v>31624.556766934853</v>
      </c>
      <c r="K77">
        <f t="shared" si="24"/>
        <v>31201.96854362213</v>
      </c>
      <c r="L77">
        <f t="shared" si="24"/>
        <v>31602.511347396925</v>
      </c>
      <c r="M77">
        <f t="shared" si="24"/>
        <v>31849.651123455926</v>
      </c>
      <c r="N77">
        <f t="shared" si="24"/>
        <v>32265.392281504191</v>
      </c>
      <c r="O77">
        <f t="shared" si="24"/>
        <v>32829.497192360344</v>
      </c>
    </row>
    <row r="78" spans="1:15">
      <c r="B78" s="73" t="s">
        <v>111</v>
      </c>
      <c r="H78">
        <f ca="1">BS!H5</f>
        <v>0</v>
      </c>
      <c r="I78">
        <f ca="1">BS!I5</f>
        <v>0</v>
      </c>
      <c r="J78">
        <f ca="1">BS!J5</f>
        <v>0</v>
      </c>
      <c r="K78">
        <f ca="1">BS!K5</f>
        <v>195.94639474658049</v>
      </c>
      <c r="L78">
        <f ca="1">BS!L5</f>
        <v>275.05838715884818</v>
      </c>
      <c r="M78">
        <f ca="1">BS!M5</f>
        <v>307.82873884121148</v>
      </c>
      <c r="N78">
        <f ca="1">BS!N5</f>
        <v>332.73594138494707</v>
      </c>
      <c r="O78">
        <f ca="1">BS!O5</f>
        <v>0</v>
      </c>
    </row>
    <row r="79" spans="1:15">
      <c r="B79" s="73" t="s">
        <v>112</v>
      </c>
      <c r="H79">
        <f>Calc!H15*-1</f>
        <v>-7058.9764089600039</v>
      </c>
      <c r="I79">
        <f>Calc!I15*-1</f>
        <v>-7906.0535780352047</v>
      </c>
      <c r="J79">
        <f>Calc!J15*-1</f>
        <v>-8854.7800073994295</v>
      </c>
      <c r="K79">
        <f>Calc!K15*-1</f>
        <v>-9917.3536082873616</v>
      </c>
      <c r="L79">
        <f>Calc!L15*-1</f>
        <v>-11107.436041281844</v>
      </c>
      <c r="M79">
        <f>Calc!M15*-1</f>
        <v>-12440.328366235666</v>
      </c>
      <c r="N79">
        <f>Calc!N15*-1</f>
        <v>-13933.167770183945</v>
      </c>
      <c r="O79">
        <f>Calc!O15*-1</f>
        <v>-15605.147902606019</v>
      </c>
    </row>
    <row r="80" spans="1:15">
      <c r="B80" s="73" t="s">
        <v>113</v>
      </c>
      <c r="H80">
        <f>Debt!H71*-1</f>
        <v>-1680</v>
      </c>
      <c r="I80">
        <f>Debt!I71*-1</f>
        <v>-1881.6</v>
      </c>
      <c r="J80">
        <f>Debt!J71*-1</f>
        <v>-2107.3919999999998</v>
      </c>
      <c r="K80">
        <f>Debt!K71*-1</f>
        <v>-2360.2790399999999</v>
      </c>
      <c r="L80">
        <f>Debt!L71*-1</f>
        <v>-2643.5125247999999</v>
      </c>
      <c r="M80">
        <f>Debt!M71*-1</f>
        <v>-2960.7340277759999</v>
      </c>
      <c r="N80">
        <f>Debt!N71*-1</f>
        <v>-3316.02211110912</v>
      </c>
      <c r="O80">
        <f>Debt!O71*-1</f>
        <v>-3713.9447644422144</v>
      </c>
    </row>
    <row r="81" spans="1:18">
      <c r="B81" s="92" t="s">
        <v>114</v>
      </c>
      <c r="H81">
        <f ca="1">(Debt!H23+Debt!H43+Debt!H61+Debt!H50)*-1</f>
        <v>-7274.2907029407324</v>
      </c>
      <c r="I81">
        <f ca="1">(Debt!I23+Debt!I43+Debt!I61+Debt!I50)*-1</f>
        <v>-7949.83083945197</v>
      </c>
      <c r="J81">
        <f ca="1">(Debt!J23+Debt!J43+Debt!J61+Debt!J50)*-1</f>
        <v>-10053.446697971352</v>
      </c>
      <c r="K81">
        <f ca="1">(Debt!K23+Debt!K43+Debt!K61+Debt!K50)*-1</f>
        <v>-9412.1608157602568</v>
      </c>
      <c r="L81">
        <f ca="1">(Debt!L23+Debt!L43+Debt!L61+Debt!L50)*-1</f>
        <v>-8586.9856542837115</v>
      </c>
      <c r="M81">
        <f ca="1">(Debt!M23+Debt!M43+Debt!M61+Debt!M50)*-1</f>
        <v>-7663.4994377600779</v>
      </c>
      <c r="N81">
        <f ca="1">(Debt!N23+Debt!N43+Debt!N61+Debt!N50)*-1</f>
        <v>-6665.2916136052363</v>
      </c>
      <c r="O81">
        <f ca="1">(Debt!O23+Debt!O43+Debt!O61+Debt!O50)*-1</f>
        <v>-5211.3532613387924</v>
      </c>
      <c r="R81" s="76"/>
    </row>
    <row r="82" spans="1:18">
      <c r="B82" t="s">
        <v>115</v>
      </c>
      <c r="H82">
        <f t="shared" ref="H82:O82" ca="1" si="25">SUM(H77:H81)</f>
        <v>9393.7407828061005</v>
      </c>
      <c r="I82">
        <f t="shared" ca="1" si="25"/>
        <v>10870.253813225343</v>
      </c>
      <c r="J82">
        <f t="shared" ca="1" si="25"/>
        <v>10608.938061564071</v>
      </c>
      <c r="K82">
        <f t="shared" ca="1" si="25"/>
        <v>9708.1214743210912</v>
      </c>
      <c r="L82">
        <f t="shared" ca="1" si="25"/>
        <v>9539.6355141902168</v>
      </c>
      <c r="M82">
        <f t="shared" ca="1" si="25"/>
        <v>9092.9180305253903</v>
      </c>
      <c r="N82">
        <f t="shared" ca="1" si="25"/>
        <v>8683.6467279908356</v>
      </c>
      <c r="O82">
        <f t="shared" ca="1" si="25"/>
        <v>8299.0512639733188</v>
      </c>
    </row>
    <row r="84" spans="1:18">
      <c r="A84" s="60"/>
      <c r="B84" t="s">
        <v>116</v>
      </c>
      <c r="H84">
        <f t="shared" ref="H84:O84" si="26">IF(H75=$D$20,1,0)</f>
        <v>0</v>
      </c>
      <c r="I84">
        <f t="shared" si="26"/>
        <v>0</v>
      </c>
      <c r="J84">
        <f t="shared" si="26"/>
        <v>0</v>
      </c>
      <c r="K84">
        <f t="shared" si="26"/>
        <v>0</v>
      </c>
      <c r="L84">
        <f t="shared" si="26"/>
        <v>1</v>
      </c>
      <c r="M84">
        <f t="shared" si="26"/>
        <v>0</v>
      </c>
      <c r="N84">
        <f t="shared" si="26"/>
        <v>0</v>
      </c>
      <c r="O84">
        <f t="shared" si="26"/>
        <v>0</v>
      </c>
    </row>
    <row r="86" spans="1:18">
      <c r="A86" s="60" t="s">
        <v>117</v>
      </c>
    </row>
    <row r="87" spans="1:18">
      <c r="B87" t="s">
        <v>78</v>
      </c>
      <c r="G87">
        <f>C58*-1</f>
        <v>-6302.6575080000039</v>
      </c>
      <c r="H87">
        <f t="shared" ref="H87:O87" si="27">H84*H79*-1</f>
        <v>0</v>
      </c>
      <c r="I87">
        <f t="shared" si="27"/>
        <v>0</v>
      </c>
      <c r="J87">
        <f t="shared" si="27"/>
        <v>0</v>
      </c>
      <c r="K87">
        <f t="shared" si="27"/>
        <v>0</v>
      </c>
      <c r="L87">
        <f t="shared" si="27"/>
        <v>11107.436041281844</v>
      </c>
      <c r="M87">
        <f t="shared" si="27"/>
        <v>0</v>
      </c>
      <c r="N87">
        <f t="shared" si="27"/>
        <v>0</v>
      </c>
      <c r="O87">
        <f t="shared" si="27"/>
        <v>0</v>
      </c>
    </row>
    <row r="88" spans="1:18">
      <c r="B88" s="90" t="s">
        <v>118</v>
      </c>
      <c r="H88">
        <f>Debt!H53*-1*LBO!$C$65</f>
        <v>0</v>
      </c>
      <c r="I88">
        <f>Debt!I53*-1*LBO!$C$65</f>
        <v>0</v>
      </c>
      <c r="J88">
        <f ca="1">Debt!J53*-1*LBO!$C$65</f>
        <v>2850</v>
      </c>
      <c r="K88">
        <f>Debt!K53*-1*LBO!$C$65</f>
        <v>0</v>
      </c>
      <c r="L88">
        <f>Debt!L53*-1*LBO!$C$65</f>
        <v>0</v>
      </c>
      <c r="M88">
        <f>Debt!M53*-1*LBO!$C$65</f>
        <v>0</v>
      </c>
      <c r="N88">
        <f>Debt!N53*-1*LBO!$C$65</f>
        <v>0</v>
      </c>
      <c r="O88">
        <f>Debt!O53*-1*LBO!$C$65</f>
        <v>0</v>
      </c>
    </row>
    <row r="89" spans="1:18">
      <c r="B89" t="s">
        <v>119</v>
      </c>
      <c r="G89">
        <f>C59*C65*-1</f>
        <v>-3800</v>
      </c>
      <c r="H89">
        <f t="shared" ref="H89:O89" ca="1" si="28">H84*H82*$D$65</f>
        <v>0</v>
      </c>
      <c r="I89">
        <f t="shared" ca="1" si="28"/>
        <v>0</v>
      </c>
      <c r="J89">
        <f t="shared" ca="1" si="28"/>
        <v>0</v>
      </c>
      <c r="K89">
        <f t="shared" ca="1" si="28"/>
        <v>0</v>
      </c>
      <c r="L89">
        <f t="shared" ca="1" si="28"/>
        <v>8609.5210515566705</v>
      </c>
      <c r="M89">
        <f t="shared" ca="1" si="28"/>
        <v>0</v>
      </c>
      <c r="N89">
        <f t="shared" ca="1" si="28"/>
        <v>0</v>
      </c>
      <c r="O89">
        <f t="shared" ca="1" si="28"/>
        <v>0</v>
      </c>
    </row>
    <row r="90" spans="1:18">
      <c r="B90" t="s">
        <v>56</v>
      </c>
      <c r="G90">
        <f>SUM(G87:G89)</f>
        <v>-10102.657508000004</v>
      </c>
      <c r="H90">
        <f t="shared" ref="H90:O90" ca="1" si="29">SUM(H87:H89)</f>
        <v>0</v>
      </c>
      <c r="I90">
        <f t="shared" ca="1" si="29"/>
        <v>0</v>
      </c>
      <c r="J90">
        <f t="shared" ca="1" si="29"/>
        <v>2850</v>
      </c>
      <c r="K90">
        <f t="shared" ca="1" si="29"/>
        <v>0</v>
      </c>
      <c r="L90">
        <f t="shared" ca="1" si="29"/>
        <v>19716.957092838515</v>
      </c>
      <c r="M90">
        <f t="shared" ca="1" si="29"/>
        <v>0</v>
      </c>
      <c r="N90">
        <f t="shared" ca="1" si="29"/>
        <v>0</v>
      </c>
      <c r="O90">
        <f t="shared" ca="1" si="29"/>
        <v>0</v>
      </c>
    </row>
    <row r="91" spans="1:18">
      <c r="B91" t="s">
        <v>120</v>
      </c>
      <c r="G91" s="58">
        <f ca="1">IRR(G90:O90)</f>
        <v>0.18621146889669271</v>
      </c>
    </row>
    <row r="92" spans="1:18">
      <c r="B92" t="s">
        <v>121</v>
      </c>
      <c r="G92" s="82">
        <f ca="1">SUM(H90:O90)/G90*-1</f>
        <v>2.2337644401949084</v>
      </c>
    </row>
    <row r="93" spans="1:18">
      <c r="G93" s="58"/>
    </row>
    <row r="94" spans="1:18">
      <c r="A94" s="60" t="s">
        <v>122</v>
      </c>
    </row>
    <row r="95" spans="1:18">
      <c r="B95" t="s">
        <v>123</v>
      </c>
      <c r="G95">
        <f>C57*-1</f>
        <v>-1500</v>
      </c>
      <c r="H95">
        <f>H84*H80*-1</f>
        <v>0</v>
      </c>
      <c r="I95">
        <f t="shared" ref="I95:O95" si="30">I84*I80*-1</f>
        <v>0</v>
      </c>
      <c r="J95">
        <f t="shared" si="30"/>
        <v>0</v>
      </c>
      <c r="K95">
        <f t="shared" si="30"/>
        <v>0</v>
      </c>
      <c r="L95">
        <f t="shared" si="30"/>
        <v>2643.5125247999999</v>
      </c>
      <c r="M95">
        <f t="shared" si="30"/>
        <v>0</v>
      </c>
      <c r="N95">
        <f t="shared" si="30"/>
        <v>0</v>
      </c>
      <c r="O95">
        <f t="shared" si="30"/>
        <v>0</v>
      </c>
    </row>
    <row r="96" spans="1:18">
      <c r="B96" t="s">
        <v>124</v>
      </c>
      <c r="H96">
        <f>IF(H75&lt;=$D$20,Debt!H72*-1,0)</f>
        <v>0</v>
      </c>
      <c r="I96">
        <f>IF(I75&lt;=$D$20,Debt!I72*-1,0)</f>
        <v>0</v>
      </c>
      <c r="J96">
        <f>IF(J75&lt;=$D$20,Debt!J72*-1,0)</f>
        <v>0</v>
      </c>
      <c r="K96">
        <f>IF(K75&lt;=$D$20,Debt!K72*-1,0)</f>
        <v>0</v>
      </c>
      <c r="L96">
        <f>IF(L75&lt;=$D$20,Debt!L72*-1,0)</f>
        <v>0</v>
      </c>
      <c r="M96">
        <f>IF(M75&lt;=$D$20,Debt!M72*-1,0)</f>
        <v>0</v>
      </c>
      <c r="N96">
        <f>IF(N75&lt;=$D$20,Debt!N72*-1,0)</f>
        <v>0</v>
      </c>
      <c r="O96">
        <f>IF(O75&lt;=$D$20,Debt!O72*-1,0)</f>
        <v>0</v>
      </c>
    </row>
    <row r="97" spans="1:16">
      <c r="B97" t="s">
        <v>119</v>
      </c>
      <c r="H97">
        <f ca="1">H84*H82*$D$66</f>
        <v>0</v>
      </c>
      <c r="I97">
        <f t="shared" ref="I97:O97" ca="1" si="31">I84*I82*$D$66</f>
        <v>0</v>
      </c>
      <c r="J97">
        <f t="shared" ca="1" si="31"/>
        <v>0</v>
      </c>
      <c r="K97">
        <f t="shared" ca="1" si="31"/>
        <v>0</v>
      </c>
      <c r="L97">
        <f t="shared" ca="1" si="31"/>
        <v>476.98177570951088</v>
      </c>
      <c r="M97">
        <f t="shared" ca="1" si="31"/>
        <v>0</v>
      </c>
      <c r="N97">
        <f t="shared" ca="1" si="31"/>
        <v>0</v>
      </c>
      <c r="O97">
        <f t="shared" ca="1" si="31"/>
        <v>0</v>
      </c>
    </row>
    <row r="98" spans="1:16">
      <c r="B98" t="s">
        <v>56</v>
      </c>
      <c r="G98">
        <f>SUM(G95:G97)</f>
        <v>-1500</v>
      </c>
      <c r="H98">
        <f t="shared" ref="H98:O98" ca="1" si="32">SUM(H95:H97)</f>
        <v>0</v>
      </c>
      <c r="I98">
        <f t="shared" ca="1" si="32"/>
        <v>0</v>
      </c>
      <c r="J98">
        <f t="shared" ca="1" si="32"/>
        <v>0</v>
      </c>
      <c r="K98">
        <f t="shared" ca="1" si="32"/>
        <v>0</v>
      </c>
      <c r="L98">
        <f t="shared" ca="1" si="32"/>
        <v>3120.494300509511</v>
      </c>
      <c r="M98">
        <f t="shared" ca="1" si="32"/>
        <v>0</v>
      </c>
      <c r="N98">
        <f t="shared" ca="1" si="32"/>
        <v>0</v>
      </c>
      <c r="O98">
        <f t="shared" ca="1" si="32"/>
        <v>0</v>
      </c>
    </row>
    <row r="99" spans="1:16">
      <c r="B99" t="s">
        <v>120</v>
      </c>
      <c r="G99" s="58">
        <f ca="1">IFERROR(IRR(G98:O98),"na")</f>
        <v>0.15778102323483778</v>
      </c>
      <c r="P99" t="str">
        <f t="shared" ref="P99:P102" ca="1" si="33">IF(ISBLANK(O99),"",_xlfn.FORMULATEXT(O99))</f>
        <v/>
      </c>
    </row>
    <row r="100" spans="1:16">
      <c r="B100" t="s">
        <v>121</v>
      </c>
      <c r="G100" s="82">
        <f ca="1">IFERROR(SUM(H98:O98)/G98*-1,"na")</f>
        <v>2.0803295336730074</v>
      </c>
      <c r="P100" t="str">
        <f t="shared" ca="1" si="33"/>
        <v/>
      </c>
    </row>
    <row r="101" spans="1:16">
      <c r="P101" t="str">
        <f t="shared" ca="1" si="33"/>
        <v/>
      </c>
    </row>
    <row r="102" spans="1:16">
      <c r="A102" s="60" t="s">
        <v>101</v>
      </c>
      <c r="P102" t="str">
        <f t="shared" ca="1" si="33"/>
        <v/>
      </c>
    </row>
    <row r="103" spans="1:16">
      <c r="B103" t="s">
        <v>119</v>
      </c>
      <c r="G103">
        <f>C64*C59*-1</f>
        <v>-200</v>
      </c>
      <c r="H103">
        <f ca="1">H84*H82*$D$64</f>
        <v>0</v>
      </c>
      <c r="I103">
        <f t="shared" ref="I103:O103" ca="1" si="34">I84*I82*$D$64</f>
        <v>0</v>
      </c>
      <c r="J103">
        <f t="shared" ca="1" si="34"/>
        <v>0</v>
      </c>
      <c r="K103">
        <f t="shared" ca="1" si="34"/>
        <v>0</v>
      </c>
      <c r="L103">
        <f t="shared" ca="1" si="34"/>
        <v>453.13268692403557</v>
      </c>
      <c r="M103">
        <f t="shared" ca="1" si="34"/>
        <v>0</v>
      </c>
      <c r="N103">
        <f t="shared" ca="1" si="34"/>
        <v>0</v>
      </c>
      <c r="O103">
        <f t="shared" ca="1" si="34"/>
        <v>0</v>
      </c>
    </row>
    <row r="104" spans="1:16">
      <c r="B104" s="90" t="s">
        <v>118</v>
      </c>
      <c r="H104">
        <f>Debt!H53*-1*$C$64</f>
        <v>0</v>
      </c>
      <c r="I104">
        <f>Debt!I53*-1*$C$64</f>
        <v>0</v>
      </c>
      <c r="J104">
        <f ca="1">Debt!J53*-1*$C$64</f>
        <v>150</v>
      </c>
      <c r="K104">
        <f>Debt!K53*-1*$C$64</f>
        <v>0</v>
      </c>
      <c r="L104">
        <f>Debt!L53*-1*$C$64</f>
        <v>0</v>
      </c>
      <c r="M104">
        <f>Debt!M53*-1*$C$64</f>
        <v>0</v>
      </c>
      <c r="N104">
        <f>Debt!N53*-1*$C$64</f>
        <v>0</v>
      </c>
      <c r="O104">
        <f>Debt!O53*-1*$C$64</f>
        <v>0</v>
      </c>
    </row>
    <row r="105" spans="1:16">
      <c r="B105" s="90" t="s">
        <v>56</v>
      </c>
      <c r="G105">
        <f>SUM(G103:G104)</f>
        <v>-200</v>
      </c>
      <c r="H105">
        <f ca="1">SUM(H103:H104)</f>
        <v>0</v>
      </c>
      <c r="I105">
        <f t="shared" ref="I105:O105" ca="1" si="35">SUM(I103:I104)</f>
        <v>0</v>
      </c>
      <c r="J105">
        <f t="shared" ca="1" si="35"/>
        <v>150</v>
      </c>
      <c r="K105">
        <f t="shared" ca="1" si="35"/>
        <v>0</v>
      </c>
      <c r="L105">
        <f t="shared" ca="1" si="35"/>
        <v>453.13268692403557</v>
      </c>
      <c r="M105">
        <f t="shared" ca="1" si="35"/>
        <v>0</v>
      </c>
      <c r="N105">
        <f t="shared" ca="1" si="35"/>
        <v>0</v>
      </c>
      <c r="O105">
        <f t="shared" ca="1" si="35"/>
        <v>0</v>
      </c>
    </row>
    <row r="106" spans="1:16">
      <c r="B106" t="s">
        <v>120</v>
      </c>
      <c r="G106" s="58">
        <f ca="1">IRR(G105:O105)</f>
        <v>0.28504041875113462</v>
      </c>
    </row>
    <row r="107" spans="1:16">
      <c r="B107" t="s">
        <v>121</v>
      </c>
      <c r="G107" s="82">
        <f ca="1">SUM(H103:O103)/G103*-1</f>
        <v>2.2656634346201781</v>
      </c>
    </row>
    <row r="108" spans="1:16">
      <c r="I108" s="82"/>
    </row>
    <row r="109" spans="1:16">
      <c r="A109" s="60" t="s">
        <v>125</v>
      </c>
    </row>
    <row r="111" spans="1:16">
      <c r="D111" s="60" t="s">
        <v>126</v>
      </c>
    </row>
    <row r="112" spans="1:16">
      <c r="C112" s="58">
        <f ca="1">G91</f>
        <v>0.18621146889669271</v>
      </c>
      <c r="D112" s="84">
        <v>0.02</v>
      </c>
      <c r="E112" s="84">
        <v>2.5000000000000001E-2</v>
      </c>
      <c r="F112" s="84">
        <v>0.03</v>
      </c>
      <c r="G112" s="84">
        <v>3.5000000000000003E-2</v>
      </c>
      <c r="H112" s="84">
        <v>0.04</v>
      </c>
    </row>
    <row r="113" spans="2:8">
      <c r="C113" s="83">
        <f>C114-1</f>
        <v>14.936629303145587</v>
      </c>
      <c r="D113" s="58">
        <f t="dataTable" ref="D113:H117" dt2D="1" dtr="1" r1="D22" r2="D17" ca="1"/>
        <v>0.13844646882568412</v>
      </c>
      <c r="E113" s="58">
        <v>0.1430211582252221</v>
      </c>
      <c r="F113" s="58">
        <v>0.1475194161406308</v>
      </c>
      <c r="G113" s="58">
        <v>0.15194426670927919</v>
      </c>
      <c r="H113" s="58">
        <v>0.15630976796039553</v>
      </c>
    </row>
    <row r="114" spans="2:8">
      <c r="C114" s="83">
        <f>C115-1</f>
        <v>15.936629303145587</v>
      </c>
      <c r="D114" s="58">
        <v>0.1586859756763761</v>
      </c>
      <c r="E114" s="58">
        <v>0.16315015384539011</v>
      </c>
      <c r="F114" s="58">
        <v>0.16754298303702297</v>
      </c>
      <c r="G114" s="58">
        <v>0.17186717085457892</v>
      </c>
      <c r="H114" s="58">
        <v>0.17613570591570249</v>
      </c>
    </row>
    <row r="115" spans="2:8">
      <c r="B115" s="60" t="s">
        <v>127</v>
      </c>
      <c r="C115" s="83">
        <v>16.936629303145587</v>
      </c>
      <c r="D115" s="58">
        <v>0.1775303863194686</v>
      </c>
      <c r="E115" s="58">
        <v>0.18190456232889574</v>
      </c>
      <c r="F115" s="58">
        <v>0.18621146889669271</v>
      </c>
      <c r="G115" s="58">
        <v>0.19045356739352726</v>
      </c>
      <c r="H115" s="58">
        <v>0.19464295399654441</v>
      </c>
    </row>
    <row r="116" spans="2:8">
      <c r="C116" s="83">
        <f>C115+1</f>
        <v>17.936629303145587</v>
      </c>
      <c r="D116" s="58">
        <v>0.19518114534719744</v>
      </c>
      <c r="E116" s="58">
        <v>0.19948114408008233</v>
      </c>
      <c r="F116" s="58">
        <v>0.20371720998645393</v>
      </c>
      <c r="G116" s="58">
        <v>0.20789160824993358</v>
      </c>
      <c r="H116" s="58">
        <v>0.21201567757214246</v>
      </c>
    </row>
    <row r="117" spans="2:8">
      <c r="C117" s="83">
        <f>C116+1</f>
        <v>18.936629303145587</v>
      </c>
      <c r="D117" s="58">
        <v>0.21179758993352871</v>
      </c>
      <c r="E117" s="58">
        <v>0.21603586403568431</v>
      </c>
      <c r="F117" s="58">
        <v>0.22021297742595358</v>
      </c>
      <c r="G117" s="58">
        <v>0.2243310358103574</v>
      </c>
      <c r="H117" s="58">
        <v>0.22840072591120375</v>
      </c>
    </row>
    <row r="119" spans="2:8">
      <c r="C119" s="90"/>
      <c r="D119" s="90" t="s">
        <v>128</v>
      </c>
      <c r="E119" s="90" t="s">
        <v>129</v>
      </c>
      <c r="F119" s="90" t="s">
        <v>130</v>
      </c>
    </row>
    <row r="120" spans="2:8">
      <c r="C120" t="s">
        <v>127</v>
      </c>
      <c r="D120" s="58">
        <f ca="1">G91</f>
        <v>0.18621146889669271</v>
      </c>
      <c r="E120" s="58">
        <f ca="1">G106</f>
        <v>0.28504041875113462</v>
      </c>
      <c r="F120" s="58">
        <f ca="1">G99</f>
        <v>0.15778102323483778</v>
      </c>
    </row>
    <row r="121" spans="2:8">
      <c r="C121" s="83">
        <f t="shared" ref="C121:C124" si="36">C122-1</f>
        <v>8.9366293031455868</v>
      </c>
      <c r="D121" s="58">
        <f t="dataTable" ref="D121:F129" dt2D="0" dtr="0" r1="D17" ca="1"/>
        <v>-2.3685943966472944E-2</v>
      </c>
      <c r="E121" s="58" t="e">
        <v>#NUM!</v>
      </c>
      <c r="F121" s="58">
        <v>9.6181357336230899E-2</v>
      </c>
    </row>
    <row r="122" spans="2:8">
      <c r="C122" s="83">
        <f t="shared" si="36"/>
        <v>9.9366293031455868</v>
      </c>
      <c r="D122" s="58">
        <v>1.4616518103289122E-2</v>
      </c>
      <c r="E122" s="58" t="e">
        <v>#NUM!</v>
      </c>
      <c r="F122" s="58">
        <v>0.10466440682413269</v>
      </c>
    </row>
    <row r="123" spans="2:8">
      <c r="C123" s="83">
        <f t="shared" si="36"/>
        <v>10.936629303145587</v>
      </c>
      <c r="D123" s="58">
        <v>4.7483167597896614E-2</v>
      </c>
      <c r="E123" s="58" t="e">
        <v>#NUM!</v>
      </c>
      <c r="F123" s="58">
        <v>0.11289461130455858</v>
      </c>
    </row>
    <row r="124" spans="2:8">
      <c r="C124" s="83">
        <f t="shared" si="36"/>
        <v>11.936629303145587</v>
      </c>
      <c r="D124" s="58">
        <v>7.6411630114651796E-2</v>
      </c>
      <c r="E124" s="58">
        <v>-6.8784298035186042E-2</v>
      </c>
      <c r="F124" s="58">
        <v>0.12088832043662023</v>
      </c>
    </row>
    <row r="125" spans="2:8">
      <c r="C125" s="83">
        <f>C126-1</f>
        <v>12.936629303145587</v>
      </c>
      <c r="D125" s="58">
        <v>0.1023388515839887</v>
      </c>
      <c r="E125" s="58">
        <v>5.947150326421613E-2</v>
      </c>
      <c r="F125" s="58">
        <v>0.12866029617306918</v>
      </c>
    </row>
    <row r="126" spans="2:8">
      <c r="C126" s="83">
        <f>C127-1</f>
        <v>13.936629303145587</v>
      </c>
      <c r="D126" s="58">
        <v>0.12589344794889668</v>
      </c>
      <c r="E126" s="58">
        <v>0.13783365448518015</v>
      </c>
      <c r="F126" s="58">
        <v>0.13622391499098185</v>
      </c>
    </row>
    <row r="127" spans="2:8">
      <c r="C127" s="83">
        <f>C128-1</f>
        <v>14.936629303145587</v>
      </c>
      <c r="D127" s="58">
        <v>0.1475194161406308</v>
      </c>
      <c r="E127" s="58">
        <v>0.19659631738776207</v>
      </c>
      <c r="F127" s="58">
        <v>0.1435913386831531</v>
      </c>
    </row>
    <row r="128" spans="2:8">
      <c r="C128" s="83">
        <f>C129-1</f>
        <v>15.936629303145587</v>
      </c>
      <c r="D128" s="58">
        <v>0.16754298303702297</v>
      </c>
      <c r="E128" s="58">
        <v>0.24438973900141514</v>
      </c>
      <c r="F128" s="58">
        <v>0.15077365935497467</v>
      </c>
    </row>
    <row r="129" spans="3:6">
      <c r="C129" s="83">
        <v>16.936629303145587</v>
      </c>
      <c r="D129" s="58">
        <v>0.18621146889669271</v>
      </c>
      <c r="E129" s="58">
        <v>0.28504041875113462</v>
      </c>
      <c r="F129" s="58">
        <v>0.15778102323483778</v>
      </c>
    </row>
  </sheetData>
  <dataValidations count="1">
    <dataValidation type="list" allowBlank="1" showInputMessage="1" showErrorMessage="1" sqref="D50" xr:uid="{9E965CFA-8736-4997-ABC6-8A2CF349343F}">
      <formula1>"1,2"</formula1>
    </dataValidation>
  </dataValidations>
  <pageMargins left="0.7" right="0.7" top="0.75" bottom="0.75" header="0.3" footer="0.3"/>
  <pageSetup paperSize="9" orientation="portrait" horizontalDpi="1200" verticalDpi="1200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28"/>
  <sheetViews>
    <sheetView workbookViewId="0"/>
    <sheetView workbookViewId="1"/>
  </sheetViews>
  <sheetFormatPr defaultRowHeight="15"/>
  <cols>
    <col min="1" max="1" width="1.5703125" customWidth="1"/>
    <col min="2" max="2" width="20.5703125" customWidth="1"/>
    <col min="3" max="15" width="11.140625" customWidth="1"/>
    <col min="16" max="17" width="10.5703125" customWidth="1"/>
  </cols>
  <sheetData>
    <row r="1" spans="1:15" ht="28.5">
      <c r="A1" s="5" t="str">
        <f>Title</f>
        <v>Hologic LBO</v>
      </c>
      <c r="B1" s="10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</row>
    <row r="2" spans="1:15" ht="21">
      <c r="A2" s="14" t="s">
        <v>26</v>
      </c>
      <c r="B2" s="7"/>
      <c r="C2" s="11" t="s">
        <v>27</v>
      </c>
      <c r="D2" s="11" t="s">
        <v>27</v>
      </c>
      <c r="E2" s="11"/>
      <c r="F2" s="11"/>
      <c r="G2" s="11"/>
      <c r="H2" s="11" t="s">
        <v>28</v>
      </c>
      <c r="I2" s="11" t="s">
        <v>28</v>
      </c>
      <c r="J2" s="11" t="s">
        <v>28</v>
      </c>
      <c r="K2" s="11" t="s">
        <v>28</v>
      </c>
      <c r="L2" s="11" t="s">
        <v>28</v>
      </c>
      <c r="M2" s="11" t="s">
        <v>28</v>
      </c>
      <c r="N2" s="11" t="s">
        <v>28</v>
      </c>
      <c r="O2" s="11" t="s">
        <v>28</v>
      </c>
    </row>
    <row r="3" spans="1:15" ht="21">
      <c r="A3" s="14" t="e" cm="1">
        <f t="array" aca="1" ref="A3" ca="1">MID(CELL("filename",A3),FIND("]",CELL("filename",A3))+1,255)</f>
        <v>#VALUE!</v>
      </c>
      <c r="B3" s="7"/>
      <c r="C3" s="11">
        <f>EDATE(D3,-12)</f>
        <v>45565</v>
      </c>
      <c r="D3" s="11">
        <f>target_yrend</f>
        <v>45930</v>
      </c>
      <c r="E3" s="11" t="s">
        <v>29</v>
      </c>
      <c r="F3" s="11" t="s">
        <v>30</v>
      </c>
      <c r="G3" s="11" t="s">
        <v>31</v>
      </c>
      <c r="H3" s="11">
        <f>EDATE(D3,12)</f>
        <v>46295</v>
      </c>
      <c r="I3" s="11">
        <f t="shared" ref="I3:L3" si="0">EDATE(H3,12)</f>
        <v>46660</v>
      </c>
      <c r="J3" s="11">
        <f t="shared" si="0"/>
        <v>47026</v>
      </c>
      <c r="K3" s="11">
        <f t="shared" si="0"/>
        <v>47391</v>
      </c>
      <c r="L3" s="11">
        <f t="shared" si="0"/>
        <v>47756</v>
      </c>
      <c r="M3" s="11">
        <f t="shared" ref="M3" si="1">EDATE(L3,12)</f>
        <v>48121</v>
      </c>
      <c r="N3" s="11">
        <f t="shared" ref="N3" si="2">EDATE(M3,12)</f>
        <v>48487</v>
      </c>
      <c r="O3" s="11">
        <f t="shared" ref="O3" si="3">EDATE(N3,12)</f>
        <v>48852</v>
      </c>
    </row>
    <row r="4" spans="1:15">
      <c r="D4" s="58"/>
      <c r="E4" s="58"/>
      <c r="F4" s="58"/>
    </row>
    <row r="5" spans="1:15">
      <c r="B5" t="s">
        <v>131</v>
      </c>
      <c r="C5" s="66">
        <v>1</v>
      </c>
      <c r="E5">
        <v>1</v>
      </c>
      <c r="F5" t="s">
        <v>132</v>
      </c>
    </row>
    <row r="6" spans="1:15">
      <c r="E6">
        <v>2</v>
      </c>
      <c r="F6" t="s">
        <v>133</v>
      </c>
    </row>
    <row r="7" spans="1:15">
      <c r="A7" s="60" t="s">
        <v>134</v>
      </c>
      <c r="D7" s="58"/>
      <c r="E7" s="58"/>
      <c r="F7" s="58"/>
    </row>
    <row r="8" spans="1:15">
      <c r="A8" s="60"/>
      <c r="B8" t="s">
        <v>135</v>
      </c>
      <c r="D8" s="58"/>
      <c r="F8" s="58"/>
      <c r="H8" s="70">
        <v>4.4999999999999998E-2</v>
      </c>
      <c r="I8" s="70">
        <v>5.2999999999999999E-2</v>
      </c>
      <c r="J8" s="70">
        <v>4.9000000000000002E-2</v>
      </c>
      <c r="K8" s="70">
        <v>4.5999999999999999E-2</v>
      </c>
      <c r="L8" s="70">
        <v>0.04</v>
      </c>
      <c r="M8" s="70">
        <f t="shared" ref="M8" si="4">L8</f>
        <v>0.04</v>
      </c>
      <c r="N8" s="70">
        <f t="shared" ref="N8" si="5">M8</f>
        <v>0.04</v>
      </c>
      <c r="O8" s="70">
        <f t="shared" ref="O8" si="6">N8</f>
        <v>0.04</v>
      </c>
    </row>
    <row r="9" spans="1:15">
      <c r="A9" s="60"/>
      <c r="B9" t="s">
        <v>136</v>
      </c>
      <c r="D9" s="58"/>
      <c r="F9" s="58"/>
      <c r="H9" s="70">
        <v>0.03</v>
      </c>
      <c r="I9" s="70">
        <v>0.04</v>
      </c>
      <c r="J9" s="70">
        <v>0.04</v>
      </c>
      <c r="K9" s="70">
        <v>0.04</v>
      </c>
      <c r="L9" s="70">
        <v>0.03</v>
      </c>
      <c r="M9" s="70">
        <f t="shared" ref="M9" si="7">L9</f>
        <v>0.03</v>
      </c>
      <c r="N9" s="70">
        <f t="shared" ref="N9" si="8">M9</f>
        <v>0.03</v>
      </c>
      <c r="O9" s="70">
        <f t="shared" ref="O9" si="9">N9</f>
        <v>0.03</v>
      </c>
    </row>
    <row r="10" spans="1:15">
      <c r="A10" s="60"/>
      <c r="B10" t="s">
        <v>137</v>
      </c>
      <c r="C10" s="58"/>
      <c r="D10" s="58">
        <f>IS!D7/IS!C7-1</f>
        <v>1.7418058209066167E-2</v>
      </c>
      <c r="H10" s="58" cm="1">
        <f t="array" ref="H10">INDEX(H8:H9,$C$5,)</f>
        <v>4.4999999999999998E-2</v>
      </c>
      <c r="I10" s="58" cm="1">
        <f t="array" ref="I10">INDEX(I8:I9,$C$5,)</f>
        <v>5.2999999999999999E-2</v>
      </c>
      <c r="J10" s="58" cm="1">
        <f t="array" ref="J10">INDEX(J8:J9,$C$5,)</f>
        <v>4.9000000000000002E-2</v>
      </c>
      <c r="K10" s="58" cm="1">
        <f t="array" ref="K10">INDEX(K8:K9,$C$5,)</f>
        <v>4.5999999999999999E-2</v>
      </c>
      <c r="L10" s="58" cm="1">
        <f t="array" ref="L10">INDEX(L8:L9,$C$5,)</f>
        <v>0.04</v>
      </c>
      <c r="M10" s="58" cm="1">
        <f t="array" ref="M10">INDEX(M8:M9,$C$5,)</f>
        <v>0.04</v>
      </c>
      <c r="N10" s="58" cm="1">
        <f t="array" ref="N10">INDEX(N8:N9,$C$5,)</f>
        <v>0.04</v>
      </c>
      <c r="O10" s="58" cm="1">
        <f t="array" ref="O10">INDEX(O8:O9,$C$5,)</f>
        <v>0.04</v>
      </c>
    </row>
    <row r="11" spans="1:15">
      <c r="A11" s="60"/>
      <c r="B11" t="s">
        <v>138</v>
      </c>
      <c r="C11" s="58">
        <f>IS!C9/IS!C7</f>
        <v>-0.44475597350073193</v>
      </c>
      <c r="D11" s="58">
        <f>IS!D9/IS!D7</f>
        <v>-0.44228752591147419</v>
      </c>
      <c r="H11" s="70">
        <v>-0.4</v>
      </c>
      <c r="I11" s="70">
        <v>-0.39</v>
      </c>
      <c r="J11" s="70">
        <v>-0.39</v>
      </c>
      <c r="K11" s="70">
        <v>-0.4</v>
      </c>
      <c r="L11" s="70">
        <f t="shared" ref="L11:O11" si="10">K11</f>
        <v>-0.4</v>
      </c>
      <c r="M11" s="70">
        <f t="shared" si="10"/>
        <v>-0.4</v>
      </c>
      <c r="N11" s="70">
        <f t="shared" si="10"/>
        <v>-0.4</v>
      </c>
      <c r="O11" s="70">
        <f t="shared" si="10"/>
        <v>-0.4</v>
      </c>
    </row>
    <row r="12" spans="1:15">
      <c r="A12" s="60"/>
      <c r="B12" t="s">
        <v>139</v>
      </c>
      <c r="C12" s="58">
        <f>IS!C11/IS!C7</f>
        <v>-0.3145175297124283</v>
      </c>
      <c r="D12" s="58">
        <f>IS!D11/IS!D7</f>
        <v>-0.32144860382880136</v>
      </c>
      <c r="H12" s="70">
        <v>-0.29499999999999998</v>
      </c>
      <c r="I12" s="70">
        <v>-0.3</v>
      </c>
      <c r="J12" s="70">
        <f>I12</f>
        <v>-0.3</v>
      </c>
      <c r="K12" s="70">
        <f t="shared" ref="K12:O12" si="11">J12</f>
        <v>-0.3</v>
      </c>
      <c r="L12" s="70">
        <f t="shared" si="11"/>
        <v>-0.3</v>
      </c>
      <c r="M12" s="70">
        <f t="shared" si="11"/>
        <v>-0.3</v>
      </c>
      <c r="N12" s="70">
        <f t="shared" si="11"/>
        <v>-0.3</v>
      </c>
      <c r="O12" s="70">
        <f t="shared" si="11"/>
        <v>-0.3</v>
      </c>
    </row>
    <row r="13" spans="1:15">
      <c r="A13" s="60"/>
      <c r="B13" t="s">
        <v>140</v>
      </c>
      <c r="C13">
        <f>IS!C12</f>
        <v>-107.7</v>
      </c>
      <c r="D13">
        <f>IS!D12</f>
        <v>-247.2</v>
      </c>
      <c r="H13" s="66">
        <v>0</v>
      </c>
      <c r="I13" s="66">
        <v>0</v>
      </c>
      <c r="J13" s="66">
        <v>0</v>
      </c>
      <c r="K13" s="66">
        <v>0</v>
      </c>
      <c r="L13" s="66">
        <v>0</v>
      </c>
      <c r="M13" s="66">
        <v>0</v>
      </c>
      <c r="N13" s="66">
        <v>0</v>
      </c>
      <c r="O13" s="66">
        <v>0</v>
      </c>
    </row>
    <row r="14" spans="1:15">
      <c r="A14" s="60"/>
      <c r="B14" t="s">
        <v>141</v>
      </c>
      <c r="H14" s="77">
        <f>I14-0.005</f>
        <v>1.9999999999999997E-2</v>
      </c>
      <c r="I14" s="77">
        <f>J14-0.005</f>
        <v>2.4999999999999998E-2</v>
      </c>
      <c r="J14" s="77">
        <f>LBO!D22</f>
        <v>0.03</v>
      </c>
      <c r="K14" s="77">
        <f>J14</f>
        <v>0.03</v>
      </c>
      <c r="L14" s="77">
        <f t="shared" ref="L14" si="12">K14</f>
        <v>0.03</v>
      </c>
      <c r="M14" s="77">
        <f t="shared" ref="M14" si="13">L14</f>
        <v>0.03</v>
      </c>
      <c r="N14" s="77">
        <f t="shared" ref="N14" si="14">M14</f>
        <v>0.03</v>
      </c>
      <c r="O14" s="77">
        <f t="shared" ref="O14" si="15">N14</f>
        <v>0.03</v>
      </c>
    </row>
    <row r="15" spans="1:15">
      <c r="A15" s="60"/>
      <c r="B15" t="s">
        <v>142</v>
      </c>
      <c r="H15" s="77">
        <f>I15-0.005</f>
        <v>0</v>
      </c>
      <c r="I15" s="77">
        <f>J15-0.005</f>
        <v>4.9999999999999984E-3</v>
      </c>
      <c r="J15" s="70">
        <f>LBO!D22-0.02</f>
        <v>9.9999999999999985E-3</v>
      </c>
      <c r="K15" s="77">
        <f>J15</f>
        <v>9.9999999999999985E-3</v>
      </c>
      <c r="L15" s="77">
        <f t="shared" ref="L15" si="16">K15</f>
        <v>9.9999999999999985E-3</v>
      </c>
      <c r="M15" s="77">
        <f t="shared" ref="M15" si="17">L15</f>
        <v>9.9999999999999985E-3</v>
      </c>
      <c r="N15" s="77">
        <f t="shared" ref="N15" si="18">M15</f>
        <v>9.9999999999999985E-3</v>
      </c>
      <c r="O15" s="77">
        <f t="shared" ref="O15" si="19">N15</f>
        <v>9.9999999999999985E-3</v>
      </c>
    </row>
    <row r="16" spans="1:15">
      <c r="A16" s="60"/>
      <c r="B16" t="s">
        <v>143</v>
      </c>
      <c r="C16" s="58"/>
      <c r="D16" s="58"/>
      <c r="H16" s="58" cm="1">
        <f t="array" ref="H16">INDEX(H14:H15,$C$5,)</f>
        <v>1.9999999999999997E-2</v>
      </c>
      <c r="I16" s="58" cm="1">
        <f t="array" ref="I16">INDEX(I14:I15,$C$5,)</f>
        <v>2.4999999999999998E-2</v>
      </c>
      <c r="J16" s="58" cm="1">
        <f t="array" ref="J16">INDEX(J14:J15,$C$5,)</f>
        <v>0.03</v>
      </c>
      <c r="K16" s="58" cm="1">
        <f t="array" ref="K16">INDEX(K14:K15,$C$5,)</f>
        <v>0.03</v>
      </c>
      <c r="L16" s="58" cm="1">
        <f t="array" ref="L16">INDEX(L14:L15,$C$5,)</f>
        <v>0.03</v>
      </c>
      <c r="M16" s="58" cm="1">
        <f t="array" ref="M16">INDEX(M14:M15,$C$5,)</f>
        <v>0.03</v>
      </c>
      <c r="N16" s="58" cm="1">
        <f t="array" ref="N16">INDEX(N14:N15,$C$5,)</f>
        <v>0.03</v>
      </c>
      <c r="O16" s="58" cm="1">
        <f t="array" ref="O16">INDEX(O14:O15,$C$5,)</f>
        <v>0.03</v>
      </c>
    </row>
    <row r="17" spans="1:15">
      <c r="B17" t="s">
        <v>144</v>
      </c>
      <c r="C17" s="58"/>
      <c r="D17" s="58">
        <f>Calc!D9/Calc!C10</f>
        <v>-0.17285714285714288</v>
      </c>
      <c r="G17" s="58"/>
      <c r="H17" s="77">
        <v>-0.17</v>
      </c>
      <c r="I17" s="77">
        <f>H17</f>
        <v>-0.17</v>
      </c>
      <c r="J17" s="77">
        <f t="shared" ref="J17:O18" si="20">I17</f>
        <v>-0.17</v>
      </c>
      <c r="K17" s="77">
        <f t="shared" si="20"/>
        <v>-0.17</v>
      </c>
      <c r="L17" s="77">
        <f t="shared" si="20"/>
        <v>-0.17</v>
      </c>
      <c r="M17" s="77">
        <f t="shared" si="20"/>
        <v>-0.17</v>
      </c>
      <c r="N17" s="77">
        <f t="shared" si="20"/>
        <v>-0.17</v>
      </c>
      <c r="O17" s="77">
        <f t="shared" si="20"/>
        <v>-0.17</v>
      </c>
    </row>
    <row r="18" spans="1:15">
      <c r="B18" t="s">
        <v>145</v>
      </c>
      <c r="C18" s="58">
        <f>IS!C17/IS!C16</f>
        <v>-8.7388741185990021E-2</v>
      </c>
      <c r="D18" s="58">
        <f>IS!D17/IS!D16</f>
        <v>-0.16955372871403401</v>
      </c>
      <c r="G18" s="58"/>
      <c r="H18" s="77">
        <v>-0.19</v>
      </c>
      <c r="I18" s="77">
        <v>-0.19</v>
      </c>
      <c r="J18" s="77">
        <v>-0.18</v>
      </c>
      <c r="K18" s="77">
        <v>-0.19</v>
      </c>
      <c r="L18" s="77">
        <f>K18</f>
        <v>-0.19</v>
      </c>
      <c r="M18" s="77">
        <f t="shared" si="20"/>
        <v>-0.19</v>
      </c>
      <c r="N18" s="77">
        <f t="shared" si="20"/>
        <v>-0.19</v>
      </c>
      <c r="O18" s="77">
        <f t="shared" si="20"/>
        <v>-0.19</v>
      </c>
    </row>
    <row r="20" spans="1:15">
      <c r="A20" s="60" t="s">
        <v>146</v>
      </c>
    </row>
    <row r="21" spans="1:15">
      <c r="B21" t="s">
        <v>147</v>
      </c>
      <c r="C21">
        <f>BS!C7/IS!C9*365</f>
        <v>-138.46582984658298</v>
      </c>
      <c r="D21">
        <f>BS!D7/IS!D9*365</f>
        <v>-136.65361711513012</v>
      </c>
      <c r="H21" s="66">
        <f>D21</f>
        <v>-136.65361711513012</v>
      </c>
      <c r="I21" s="66">
        <f>H21</f>
        <v>-136.65361711513012</v>
      </c>
      <c r="J21" s="66">
        <f t="shared" ref="J21:O21" si="21">I21</f>
        <v>-136.65361711513012</v>
      </c>
      <c r="K21" s="66">
        <f t="shared" si="21"/>
        <v>-136.65361711513012</v>
      </c>
      <c r="L21" s="66">
        <f t="shared" si="21"/>
        <v>-136.65361711513012</v>
      </c>
      <c r="M21" s="66">
        <f t="shared" si="21"/>
        <v>-136.65361711513012</v>
      </c>
      <c r="N21" s="66">
        <f t="shared" si="21"/>
        <v>-136.65361711513012</v>
      </c>
      <c r="O21" s="66">
        <f t="shared" si="21"/>
        <v>-136.65361711513012</v>
      </c>
    </row>
    <row r="22" spans="1:15">
      <c r="B22" t="s">
        <v>148</v>
      </c>
      <c r="C22">
        <f>BS!C6/IS!C7*365</f>
        <v>54.338386720591515</v>
      </c>
      <c r="D22">
        <f>BS!D6/IS!D7*365</f>
        <v>53.497134495793198</v>
      </c>
      <c r="H22" s="66">
        <f>D22</f>
        <v>53.497134495793198</v>
      </c>
      <c r="I22" s="66">
        <f>H22</f>
        <v>53.497134495793198</v>
      </c>
      <c r="J22" s="66">
        <f t="shared" ref="J22:O24" si="22">I22</f>
        <v>53.497134495793198</v>
      </c>
      <c r="K22" s="66">
        <f t="shared" si="22"/>
        <v>53.497134495793198</v>
      </c>
      <c r="L22" s="66">
        <f t="shared" si="22"/>
        <v>53.497134495793198</v>
      </c>
      <c r="M22" s="66">
        <f t="shared" si="22"/>
        <v>53.497134495793198</v>
      </c>
      <c r="N22" s="66">
        <f t="shared" si="22"/>
        <v>53.497134495793198</v>
      </c>
      <c r="O22" s="66">
        <f t="shared" si="22"/>
        <v>53.497134495793198</v>
      </c>
    </row>
    <row r="23" spans="1:15">
      <c r="B23" t="s">
        <v>149</v>
      </c>
      <c r="C23" s="62">
        <f>BS!C8/IS!C7</f>
        <v>5.210530233481378E-2</v>
      </c>
      <c r="D23" s="62">
        <f>BS!D8/IS!D7</f>
        <v>4.5116449213510545E-2</v>
      </c>
      <c r="G23" s="62"/>
      <c r="H23" s="77">
        <f>D23</f>
        <v>4.5116449213510545E-2</v>
      </c>
      <c r="I23" s="77">
        <f>H23</f>
        <v>4.5116449213510545E-2</v>
      </c>
      <c r="J23" s="77">
        <f t="shared" si="22"/>
        <v>4.5116449213510545E-2</v>
      </c>
      <c r="K23" s="77">
        <f t="shared" si="22"/>
        <v>4.5116449213510545E-2</v>
      </c>
      <c r="L23" s="77">
        <f t="shared" si="22"/>
        <v>4.5116449213510545E-2</v>
      </c>
      <c r="M23" s="77">
        <f t="shared" si="22"/>
        <v>4.5116449213510545E-2</v>
      </c>
      <c r="N23" s="77">
        <f t="shared" si="22"/>
        <v>4.5116449213510545E-2</v>
      </c>
      <c r="O23" s="77">
        <f t="shared" si="22"/>
        <v>4.5116449213510545E-2</v>
      </c>
    </row>
    <row r="24" spans="1:15">
      <c r="B24" t="s">
        <v>150</v>
      </c>
      <c r="C24" s="62">
        <f>Calc!C7/IS!C7</f>
        <v>3.4786492320670916E-2</v>
      </c>
      <c r="D24" s="62">
        <f>Calc!D7/IS!D7</f>
        <v>3.7166199243994634E-2</v>
      </c>
      <c r="G24" s="76"/>
      <c r="H24" s="77">
        <v>3.6999999999999998E-2</v>
      </c>
      <c r="I24" s="77">
        <v>3.3000000000000002E-2</v>
      </c>
      <c r="J24" s="77">
        <v>3.2000000000000001E-2</v>
      </c>
      <c r="K24" s="77">
        <f>J24</f>
        <v>3.2000000000000001E-2</v>
      </c>
      <c r="L24" s="77">
        <f>K24</f>
        <v>3.2000000000000001E-2</v>
      </c>
      <c r="M24" s="77">
        <f t="shared" si="22"/>
        <v>3.2000000000000001E-2</v>
      </c>
      <c r="N24" s="77">
        <f t="shared" si="22"/>
        <v>3.2000000000000001E-2</v>
      </c>
      <c r="O24" s="77">
        <f t="shared" si="22"/>
        <v>3.2000000000000001E-2</v>
      </c>
    </row>
    <row r="25" spans="1:15">
      <c r="B25" t="s">
        <v>151</v>
      </c>
      <c r="C25">
        <f>BS!C12</f>
        <v>1261</v>
      </c>
      <c r="D25">
        <f>BS!D12</f>
        <v>1053</v>
      </c>
      <c r="H25" s="66">
        <f>D25</f>
        <v>1053</v>
      </c>
      <c r="I25" s="66">
        <f t="shared" ref="I25:I28" si="23">H25</f>
        <v>1053</v>
      </c>
      <c r="J25" s="66">
        <f t="shared" ref="J25:O28" si="24">I25</f>
        <v>1053</v>
      </c>
      <c r="K25" s="66">
        <f t="shared" si="24"/>
        <v>1053</v>
      </c>
      <c r="L25" s="66">
        <f t="shared" si="24"/>
        <v>1053</v>
      </c>
      <c r="M25" s="66">
        <f t="shared" si="24"/>
        <v>1053</v>
      </c>
      <c r="N25" s="66">
        <f t="shared" si="24"/>
        <v>1053</v>
      </c>
      <c r="O25" s="66">
        <f t="shared" si="24"/>
        <v>1053</v>
      </c>
    </row>
    <row r="26" spans="1:15">
      <c r="B26" t="s">
        <v>152</v>
      </c>
      <c r="C26">
        <f>BS!C17/IS!C9*365</f>
        <v>-41.499023709902374</v>
      </c>
      <c r="D26">
        <f>BS!D17/IS!D9*365</f>
        <v>-38.923136303484789</v>
      </c>
      <c r="H26" s="66">
        <f>D26</f>
        <v>-38.923136303484789</v>
      </c>
      <c r="I26" s="66">
        <f t="shared" si="23"/>
        <v>-38.923136303484789</v>
      </c>
      <c r="J26" s="66">
        <f t="shared" si="24"/>
        <v>-38.923136303484789</v>
      </c>
      <c r="K26" s="66">
        <f t="shared" si="24"/>
        <v>-38.923136303484789</v>
      </c>
      <c r="L26" s="66">
        <f t="shared" si="24"/>
        <v>-38.923136303484789</v>
      </c>
      <c r="M26" s="66">
        <f t="shared" si="24"/>
        <v>-38.923136303484789</v>
      </c>
      <c r="N26" s="66">
        <f t="shared" si="24"/>
        <v>-38.923136303484789</v>
      </c>
      <c r="O26" s="66">
        <f t="shared" si="24"/>
        <v>-38.923136303484789</v>
      </c>
    </row>
    <row r="27" spans="1:15">
      <c r="B27" t="s">
        <v>153</v>
      </c>
      <c r="C27" s="58">
        <f>BS!C18/IS!C7</f>
        <v>0.19070540654541845</v>
      </c>
      <c r="D27" s="58">
        <f>BS!D18/IS!D7</f>
        <v>0.18300207291793683</v>
      </c>
      <c r="H27" s="70">
        <f>D27</f>
        <v>0.18300207291793683</v>
      </c>
      <c r="I27" s="70">
        <f t="shared" si="23"/>
        <v>0.18300207291793683</v>
      </c>
      <c r="J27" s="70">
        <f t="shared" si="24"/>
        <v>0.18300207291793683</v>
      </c>
      <c r="K27" s="70">
        <f t="shared" si="24"/>
        <v>0.18300207291793683</v>
      </c>
      <c r="L27" s="70">
        <f t="shared" si="24"/>
        <v>0.18300207291793683</v>
      </c>
      <c r="M27" s="70">
        <f t="shared" si="24"/>
        <v>0.18300207291793683</v>
      </c>
      <c r="N27" s="70">
        <f t="shared" si="24"/>
        <v>0.18300207291793683</v>
      </c>
      <c r="O27" s="70">
        <f t="shared" si="24"/>
        <v>0.18300207291793683</v>
      </c>
    </row>
    <row r="28" spans="1:15">
      <c r="B28" t="s">
        <v>154</v>
      </c>
      <c r="C28">
        <f>BS!C28</f>
        <v>397.8</v>
      </c>
      <c r="D28">
        <f>BS!D28</f>
        <v>397.8</v>
      </c>
      <c r="H28" s="66">
        <f>D28</f>
        <v>397.8</v>
      </c>
      <c r="I28" s="66">
        <f t="shared" si="23"/>
        <v>397.8</v>
      </c>
      <c r="J28" s="66">
        <f t="shared" si="24"/>
        <v>397.8</v>
      </c>
      <c r="K28" s="66">
        <f t="shared" si="24"/>
        <v>397.8</v>
      </c>
      <c r="L28" s="66">
        <f t="shared" si="24"/>
        <v>397.8</v>
      </c>
      <c r="M28" s="66">
        <f t="shared" si="24"/>
        <v>397.8</v>
      </c>
      <c r="N28" s="66">
        <f t="shared" si="24"/>
        <v>397.8</v>
      </c>
      <c r="O28" s="66">
        <f t="shared" si="24"/>
        <v>397.8</v>
      </c>
    </row>
  </sheetData>
  <conditionalFormatting sqref="E5:F6">
    <cfRule type="expression" dxfId="0" priority="1">
      <formula>$C$5=$E5</formula>
    </cfRule>
  </conditionalFormatting>
  <dataValidations count="1">
    <dataValidation type="list" allowBlank="1" showInputMessage="1" showErrorMessage="1" sqref="C5" xr:uid="{A97C3495-A12C-4C2A-AE63-2E9CB2034A3A}">
      <formula1>"1,2"</formula1>
    </dataValidation>
  </dataValidations>
  <pageMargins left="0.7" right="0.7" top="0.75" bottom="0.75" header="0.3" footer="0.3"/>
  <pageSetup paperSize="9" orientation="portrait" horizontalDpi="1200" verticalDpi="1200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37"/>
  <sheetViews>
    <sheetView workbookViewId="0">
      <selection activeCell="H20" sqref="H20:O20"/>
    </sheetView>
    <sheetView workbookViewId="1"/>
  </sheetViews>
  <sheetFormatPr defaultRowHeight="15"/>
  <cols>
    <col min="1" max="1" width="1.5703125" customWidth="1"/>
    <col min="2" max="2" width="20.5703125" customWidth="1"/>
    <col min="3" max="15" width="11.140625" customWidth="1"/>
  </cols>
  <sheetData>
    <row r="1" spans="1:15" ht="28.5">
      <c r="A1" s="5" t="str">
        <f>Title</f>
        <v>Hologic LBO</v>
      </c>
      <c r="B1" s="10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</row>
    <row r="2" spans="1:15" ht="21">
      <c r="A2" s="14" t="s">
        <v>26</v>
      </c>
      <c r="B2" s="7"/>
      <c r="C2" s="11" t="s">
        <v>27</v>
      </c>
      <c r="D2" s="11" t="s">
        <v>27</v>
      </c>
      <c r="E2" s="11"/>
      <c r="F2" s="11"/>
      <c r="G2" s="11"/>
      <c r="H2" s="11" t="s">
        <v>28</v>
      </c>
      <c r="I2" s="11" t="s">
        <v>28</v>
      </c>
      <c r="J2" s="11" t="s">
        <v>28</v>
      </c>
      <c r="K2" s="11" t="s">
        <v>28</v>
      </c>
      <c r="L2" s="11" t="s">
        <v>28</v>
      </c>
      <c r="M2" s="11" t="s">
        <v>28</v>
      </c>
      <c r="N2" s="11" t="s">
        <v>28</v>
      </c>
      <c r="O2" s="11" t="s">
        <v>28</v>
      </c>
    </row>
    <row r="3" spans="1:15" ht="21">
      <c r="A3" s="14" t="e" cm="1">
        <f t="array" aca="1" ref="A3" ca="1">MID(CELL("filename",A3),FIND("]",CELL("filename",A3))+1,255)</f>
        <v>#VALUE!</v>
      </c>
      <c r="B3" s="7"/>
      <c r="C3" s="11">
        <f>EDATE(D3,-12)</f>
        <v>45565</v>
      </c>
      <c r="D3" s="11">
        <f>target_yrend</f>
        <v>45930</v>
      </c>
      <c r="E3" s="11" t="s">
        <v>29</v>
      </c>
      <c r="F3" s="11" t="s">
        <v>30</v>
      </c>
      <c r="G3" s="11" t="s">
        <v>31</v>
      </c>
      <c r="H3" s="11">
        <f>EDATE(D3,12)</f>
        <v>46295</v>
      </c>
      <c r="I3" s="11">
        <f t="shared" ref="I3:O3" si="0">EDATE(H3,12)</f>
        <v>46660</v>
      </c>
      <c r="J3" s="11">
        <f t="shared" si="0"/>
        <v>47026</v>
      </c>
      <c r="K3" s="11">
        <f t="shared" si="0"/>
        <v>47391</v>
      </c>
      <c r="L3" s="11">
        <f t="shared" si="0"/>
        <v>47756</v>
      </c>
      <c r="M3" s="11">
        <f t="shared" si="0"/>
        <v>48121</v>
      </c>
      <c r="N3" s="11">
        <f t="shared" si="0"/>
        <v>48487</v>
      </c>
      <c r="O3" s="11">
        <f t="shared" si="0"/>
        <v>48852</v>
      </c>
    </row>
    <row r="5" spans="1:15">
      <c r="A5" s="60" t="s">
        <v>155</v>
      </c>
    </row>
    <row r="6" spans="1:15">
      <c r="B6" t="s">
        <v>156</v>
      </c>
      <c r="H6">
        <f>G10</f>
        <v>654</v>
      </c>
      <c r="I6">
        <f>H10</f>
        <v>1701.3658324999999</v>
      </c>
      <c r="J6">
        <f t="shared" ref="J6:O6" si="1">I10</f>
        <v>3069.6138878275001</v>
      </c>
      <c r="K6">
        <f t="shared" si="1"/>
        <v>2720.458662846665</v>
      </c>
      <c r="L6">
        <f t="shared" si="1"/>
        <v>2438.6005703662649</v>
      </c>
      <c r="M6">
        <f t="shared" si="1"/>
        <v>2211.8831488156738</v>
      </c>
      <c r="N6">
        <f t="shared" si="1"/>
        <v>2031.2214759451504</v>
      </c>
      <c r="O6">
        <f t="shared" si="1"/>
        <v>1889.0866259597412</v>
      </c>
    </row>
    <row r="7" spans="1:15">
      <c r="B7" t="s">
        <v>38</v>
      </c>
      <c r="C7" s="59">
        <v>140.19999999999999</v>
      </c>
      <c r="D7" s="59">
        <v>152.4</v>
      </c>
      <c r="H7">
        <f>Input!H24*IS!H7</f>
        <v>158.54583249999999</v>
      </c>
      <c r="I7">
        <f>Input!I24*IS!I7</f>
        <v>157.48024685249999</v>
      </c>
      <c r="J7">
        <f>Input!J24*IS!J7</f>
        <v>172.67913594983997</v>
      </c>
      <c r="K7">
        <f>Input!K24*IS!K7</f>
        <v>180.61988020353263</v>
      </c>
      <c r="L7">
        <f>Input!L24*IS!L7</f>
        <v>187.84467541167393</v>
      </c>
      <c r="M7">
        <f>Input!M24*IS!M7</f>
        <v>195.35846242814091</v>
      </c>
      <c r="N7">
        <f>Input!N24*IS!N7</f>
        <v>203.17280092526659</v>
      </c>
      <c r="O7">
        <f>Input!O24*IS!O7</f>
        <v>211.29971296227723</v>
      </c>
    </row>
    <row r="8" spans="1:15">
      <c r="B8" t="s">
        <v>157</v>
      </c>
      <c r="C8" s="59"/>
      <c r="D8" s="59"/>
      <c r="H8">
        <f>LBO!H8</f>
        <v>1000</v>
      </c>
      <c r="I8">
        <f>LBO!I8</f>
        <v>1500</v>
      </c>
      <c r="J8">
        <f>LBO!J8</f>
        <v>0</v>
      </c>
      <c r="K8">
        <f>LBO!K8</f>
        <v>0</v>
      </c>
      <c r="L8">
        <f>LBO!L8</f>
        <v>0</v>
      </c>
      <c r="M8">
        <f>LBO!M8</f>
        <v>0</v>
      </c>
      <c r="N8">
        <f>LBO!N8</f>
        <v>0</v>
      </c>
      <c r="O8">
        <f>LBO!O8</f>
        <v>0</v>
      </c>
    </row>
    <row r="9" spans="1:15">
      <c r="B9" t="s">
        <v>158</v>
      </c>
      <c r="C9" s="59">
        <v>-99.3</v>
      </c>
      <c r="D9" s="59">
        <v>-108.9</v>
      </c>
      <c r="H9">
        <f>Input!H17*Calc!H6</f>
        <v>-111.18</v>
      </c>
      <c r="I9">
        <f>Input!I17*Calc!I6</f>
        <v>-289.23219152500002</v>
      </c>
      <c r="J9">
        <f>Input!J17*Calc!J6</f>
        <v>-521.83436093067507</v>
      </c>
      <c r="K9">
        <f>Input!K17*Calc!K6</f>
        <v>-462.4779726839331</v>
      </c>
      <c r="L9">
        <f>Input!L17*Calc!L6</f>
        <v>-414.56209696226506</v>
      </c>
      <c r="M9">
        <f>Input!M17*Calc!M6</f>
        <v>-376.02013529866457</v>
      </c>
      <c r="N9">
        <f>Input!N17*Calc!N6</f>
        <v>-345.30765091067559</v>
      </c>
      <c r="O9">
        <f>Input!O17*Calc!O6</f>
        <v>-321.14472641315604</v>
      </c>
    </row>
    <row r="10" spans="1:15">
      <c r="B10" t="s">
        <v>159</v>
      </c>
      <c r="C10" s="75">
        <v>630</v>
      </c>
      <c r="D10" s="75">
        <v>654</v>
      </c>
      <c r="G10">
        <f>BS!G11</f>
        <v>654</v>
      </c>
      <c r="H10">
        <f t="shared" ref="H10:O10" si="2">SUM(H6:H9)</f>
        <v>1701.3658324999999</v>
      </c>
      <c r="I10">
        <f t="shared" si="2"/>
        <v>3069.6138878275001</v>
      </c>
      <c r="J10">
        <f t="shared" si="2"/>
        <v>2720.458662846665</v>
      </c>
      <c r="K10">
        <f t="shared" si="2"/>
        <v>2438.6005703662649</v>
      </c>
      <c r="L10">
        <f t="shared" si="2"/>
        <v>2211.8831488156738</v>
      </c>
      <c r="M10">
        <f t="shared" si="2"/>
        <v>2031.2214759451504</v>
      </c>
      <c r="N10">
        <f t="shared" si="2"/>
        <v>1889.0866259597412</v>
      </c>
      <c r="O10">
        <f t="shared" si="2"/>
        <v>1779.2416125088625</v>
      </c>
    </row>
    <row r="11" spans="1:15">
      <c r="D11" s="75"/>
      <c r="I11" s="58"/>
      <c r="J11" s="58"/>
      <c r="K11" s="58"/>
      <c r="L11" s="58"/>
      <c r="M11" s="58"/>
      <c r="N11" s="58"/>
      <c r="O11" s="58"/>
    </row>
    <row r="12" spans="1:15">
      <c r="A12" s="60" t="s">
        <v>78</v>
      </c>
    </row>
    <row r="13" spans="1:15">
      <c r="B13" t="s">
        <v>156</v>
      </c>
      <c r="H13">
        <f>G15</f>
        <v>6302.6575080000039</v>
      </c>
      <c r="I13">
        <f t="shared" ref="I13:O13" si="3">H15</f>
        <v>7058.9764089600039</v>
      </c>
      <c r="J13">
        <f t="shared" si="3"/>
        <v>7906.0535780352047</v>
      </c>
      <c r="K13">
        <f t="shared" si="3"/>
        <v>8854.7800073994295</v>
      </c>
      <c r="L13">
        <f t="shared" si="3"/>
        <v>9917.3536082873616</v>
      </c>
      <c r="M13">
        <f t="shared" si="3"/>
        <v>11107.436041281844</v>
      </c>
      <c r="N13">
        <f t="shared" si="3"/>
        <v>12440.328366235666</v>
      </c>
      <c r="O13">
        <f t="shared" si="3"/>
        <v>13933.167770183945</v>
      </c>
    </row>
    <row r="14" spans="1:15">
      <c r="B14" t="s">
        <v>160</v>
      </c>
      <c r="H14">
        <f>H13*LBO!$G$58</f>
        <v>756.31890096000041</v>
      </c>
      <c r="I14">
        <f>I13*LBO!$G$58</f>
        <v>847.07716907520046</v>
      </c>
      <c r="J14">
        <f>J13*LBO!$G$58</f>
        <v>948.72642936422449</v>
      </c>
      <c r="K14">
        <f>K13*LBO!$G$58</f>
        <v>1062.5736008879314</v>
      </c>
      <c r="L14">
        <f>L13*LBO!$G$58</f>
        <v>1190.0824329944833</v>
      </c>
      <c r="M14">
        <f>M13*LBO!$G$58</f>
        <v>1332.8923249538213</v>
      </c>
      <c r="N14">
        <f>N13*LBO!$G$58</f>
        <v>1492.8394039482798</v>
      </c>
      <c r="O14">
        <f>O13*LBO!$G$58</f>
        <v>1671.9801324220734</v>
      </c>
    </row>
    <row r="15" spans="1:15">
      <c r="B15" t="s">
        <v>161</v>
      </c>
      <c r="G15">
        <f>LBO!C58</f>
        <v>6302.6575080000039</v>
      </c>
      <c r="H15">
        <f>SUM(H13:H14)</f>
        <v>7058.9764089600039</v>
      </c>
      <c r="I15">
        <f t="shared" ref="I15:O15" si="4">SUM(I13:I14)</f>
        <v>7906.0535780352047</v>
      </c>
      <c r="J15">
        <f t="shared" si="4"/>
        <v>8854.7800073994295</v>
      </c>
      <c r="K15">
        <f t="shared" si="4"/>
        <v>9917.3536082873616</v>
      </c>
      <c r="L15">
        <f t="shared" si="4"/>
        <v>11107.436041281844</v>
      </c>
      <c r="M15">
        <f t="shared" si="4"/>
        <v>12440.328366235666</v>
      </c>
      <c r="N15">
        <f t="shared" si="4"/>
        <v>13933.167770183945</v>
      </c>
      <c r="O15">
        <f t="shared" si="4"/>
        <v>15605.147902606019</v>
      </c>
    </row>
    <row r="17" spans="1:15">
      <c r="A17" s="60" t="s">
        <v>119</v>
      </c>
    </row>
    <row r="18" spans="1:15">
      <c r="B18" t="s">
        <v>156</v>
      </c>
      <c r="H18">
        <f>G22</f>
        <v>3634.9478920000001</v>
      </c>
      <c r="I18">
        <f ca="1">H22</f>
        <v>3422.354443808038</v>
      </c>
      <c r="J18">
        <f t="shared" ref="J18:O18" ca="1" si="5">I22</f>
        <v>3085.7208672441188</v>
      </c>
      <c r="K18">
        <f t="shared" ca="1" si="5"/>
        <v>-495.26541364537053</v>
      </c>
      <c r="L18">
        <f t="shared" ca="1" si="5"/>
        <v>-1236.4574018346968</v>
      </c>
      <c r="M18">
        <f t="shared" ca="1" si="5"/>
        <v>-2030.3482394069563</v>
      </c>
      <c r="N18">
        <f t="shared" ca="1" si="5"/>
        <v>-2901.9661816305124</v>
      </c>
      <c r="O18">
        <f t="shared" ca="1" si="5"/>
        <v>-3865.1250336416924</v>
      </c>
    </row>
    <row r="19" spans="1:15">
      <c r="B19" t="s">
        <v>160</v>
      </c>
      <c r="H19">
        <f>H14*-1</f>
        <v>-756.31890096000041</v>
      </c>
      <c r="I19">
        <f t="shared" ref="I19:O19" si="6">I14*-1</f>
        <v>-847.07716907520046</v>
      </c>
      <c r="J19">
        <f t="shared" si="6"/>
        <v>-948.72642936422449</v>
      </c>
      <c r="K19">
        <f t="shared" si="6"/>
        <v>-1062.5736008879314</v>
      </c>
      <c r="L19">
        <f t="shared" si="6"/>
        <v>-1190.0824329944833</v>
      </c>
      <c r="M19">
        <f t="shared" si="6"/>
        <v>-1332.8923249538213</v>
      </c>
      <c r="N19">
        <f t="shared" si="6"/>
        <v>-1492.8394039482798</v>
      </c>
      <c r="O19">
        <f t="shared" si="6"/>
        <v>-1671.9801324220734</v>
      </c>
    </row>
    <row r="20" spans="1:15">
      <c r="B20" s="90" t="s">
        <v>162</v>
      </c>
      <c r="H20">
        <f>Debt!H53</f>
        <v>0</v>
      </c>
      <c r="I20">
        <f>Debt!I53</f>
        <v>0</v>
      </c>
      <c r="J20">
        <f ca="1">Debt!J53</f>
        <v>-3000</v>
      </c>
      <c r="K20">
        <f>Debt!K53</f>
        <v>0</v>
      </c>
      <c r="L20">
        <f>Debt!L53</f>
        <v>0</v>
      </c>
      <c r="M20">
        <f>Debt!M53</f>
        <v>0</v>
      </c>
      <c r="N20">
        <f>Debt!N53</f>
        <v>0</v>
      </c>
      <c r="O20">
        <f>Debt!O53</f>
        <v>0</v>
      </c>
    </row>
    <row r="21" spans="1:15">
      <c r="B21" t="s">
        <v>163</v>
      </c>
      <c r="H21">
        <f ca="1">IS!H18</f>
        <v>543.72545276803862</v>
      </c>
      <c r="I21">
        <f ca="1">IS!I18</f>
        <v>510.44359251128111</v>
      </c>
      <c r="J21">
        <f ca="1">IS!J18</f>
        <v>367.74014847473489</v>
      </c>
      <c r="K21">
        <f ca="1">IS!K18</f>
        <v>321.38161269860507</v>
      </c>
      <c r="L21">
        <f ca="1">IS!L18</f>
        <v>396.19159542222377</v>
      </c>
      <c r="M21">
        <f ca="1">IS!M18</f>
        <v>461.27438273026542</v>
      </c>
      <c r="N21">
        <f ca="1">IS!N18</f>
        <v>529.68055193710029</v>
      </c>
      <c r="O21">
        <f ca="1">IS!O18</f>
        <v>632.83988385399994</v>
      </c>
    </row>
    <row r="22" spans="1:15">
      <c r="B22" t="s">
        <v>159</v>
      </c>
      <c r="G22">
        <f>BS!G31</f>
        <v>3634.9478920000001</v>
      </c>
      <c r="H22">
        <f t="shared" ref="H22:O22" ca="1" si="7">SUM(H18:H21)</f>
        <v>3422.354443808038</v>
      </c>
      <c r="I22">
        <f t="shared" ca="1" si="7"/>
        <v>3085.7208672441188</v>
      </c>
      <c r="J22">
        <f t="shared" ca="1" si="7"/>
        <v>-495.26541364537053</v>
      </c>
      <c r="K22">
        <f t="shared" ca="1" si="7"/>
        <v>-1236.4574018346968</v>
      </c>
      <c r="L22">
        <f t="shared" ca="1" si="7"/>
        <v>-2030.3482394069563</v>
      </c>
      <c r="M22">
        <f t="shared" ca="1" si="7"/>
        <v>-2901.9661816305124</v>
      </c>
      <c r="N22">
        <f t="shared" ca="1" si="7"/>
        <v>-3865.1250336416924</v>
      </c>
      <c r="O22">
        <f t="shared" ca="1" si="7"/>
        <v>-4904.2652822097662</v>
      </c>
    </row>
    <row r="24" spans="1:15">
      <c r="A24" s="60" t="s">
        <v>164</v>
      </c>
    </row>
    <row r="25" spans="1:15">
      <c r="B25" t="str">
        <f>BS!B6</f>
        <v>Accounts receivable</v>
      </c>
      <c r="G25">
        <f>BS!G6</f>
        <v>601</v>
      </c>
      <c r="H25">
        <f>BS!H6</f>
        <v>628.04499999999996</v>
      </c>
      <c r="I25">
        <f>BS!I6</f>
        <v>699.43893286001696</v>
      </c>
      <c r="J25">
        <f>BS!J6</f>
        <v>790.91086990804342</v>
      </c>
      <c r="K25">
        <f>BS!K6</f>
        <v>827.28133765945552</v>
      </c>
      <c r="L25">
        <f>BS!L6</f>
        <v>860.37259116583368</v>
      </c>
      <c r="M25">
        <f>BS!M6</f>
        <v>894.78749481246712</v>
      </c>
      <c r="N25">
        <f>BS!N6</f>
        <v>930.57899460496594</v>
      </c>
      <c r="O25">
        <f>BS!O6</f>
        <v>967.80215438916457</v>
      </c>
    </row>
    <row r="26" spans="1:15">
      <c r="B26" t="str">
        <f>BS!B7</f>
        <v>Inventories</v>
      </c>
      <c r="G26">
        <f>BS!G7</f>
        <v>679</v>
      </c>
      <c r="H26">
        <f>BS!H7</f>
        <v>641.71377977503312</v>
      </c>
      <c r="I26">
        <f>BS!I7</f>
        <v>696.79499286552982</v>
      </c>
      <c r="J26">
        <f>BS!J7</f>
        <v>787.92115803645243</v>
      </c>
      <c r="K26">
        <f>BS!K7</f>
        <v>845.28629975048693</v>
      </c>
      <c r="L26">
        <f>BS!L7</f>
        <v>879.0977517405064</v>
      </c>
      <c r="M26">
        <f>BS!M7</f>
        <v>914.26166181012684</v>
      </c>
      <c r="N26">
        <f>BS!N7</f>
        <v>950.83212828253215</v>
      </c>
      <c r="O26">
        <f>BS!O7</f>
        <v>988.86541341383338</v>
      </c>
    </row>
    <row r="27" spans="1:15">
      <c r="B27" t="str">
        <f>BS!B8</f>
        <v>Other current assets</v>
      </c>
      <c r="G27">
        <f>BS!G8</f>
        <v>185</v>
      </c>
      <c r="H27">
        <f>BS!H8</f>
        <v>193.32499999999999</v>
      </c>
      <c r="I27">
        <f>BS!I8</f>
        <v>215.30150179551271</v>
      </c>
      <c r="J27">
        <f>BS!J8</f>
        <v>243.45842085355747</v>
      </c>
      <c r="K27">
        <f>BS!K8</f>
        <v>254.65398912978247</v>
      </c>
      <c r="L27">
        <f>BS!L8</f>
        <v>264.84014869497378</v>
      </c>
      <c r="M27">
        <f>BS!M8</f>
        <v>275.43375464277273</v>
      </c>
      <c r="N27">
        <f>BS!N8</f>
        <v>286.45110482848366</v>
      </c>
      <c r="O27">
        <f>BS!O8</f>
        <v>297.90914902162302</v>
      </c>
    </row>
    <row r="28" spans="1:15">
      <c r="B28" t="str">
        <f>BS!B17</f>
        <v>Accounts payable</v>
      </c>
      <c r="G28">
        <f>BS!G17</f>
        <v>193.4</v>
      </c>
      <c r="H28">
        <f>BS!H17</f>
        <v>182.779742280547</v>
      </c>
      <c r="I28">
        <f>BS!I17</f>
        <v>198.46855908717745</v>
      </c>
      <c r="J28">
        <f>BS!J17</f>
        <v>224.42408242157575</v>
      </c>
      <c r="K28">
        <f>BS!K17</f>
        <v>240.76343206442445</v>
      </c>
      <c r="L28">
        <f>BS!L17</f>
        <v>250.39396934700142</v>
      </c>
      <c r="M28">
        <f>BS!M17</f>
        <v>260.40972812088154</v>
      </c>
      <c r="N28">
        <f>BS!N17</f>
        <v>270.82611724571683</v>
      </c>
      <c r="O28">
        <f>BS!O17</f>
        <v>281.65916193554551</v>
      </c>
    </row>
    <row r="29" spans="1:15">
      <c r="B29" t="s">
        <v>165</v>
      </c>
      <c r="G29">
        <f>BS!G18</f>
        <v>750.4</v>
      </c>
      <c r="H29">
        <f>BS!H18</f>
        <v>784.16800000000001</v>
      </c>
      <c r="I29">
        <f>BS!I18</f>
        <v>873.30944295866345</v>
      </c>
      <c r="J29">
        <f>BS!J18</f>
        <v>987.51999464059202</v>
      </c>
      <c r="K29">
        <f>BS!K18</f>
        <v>1032.9316402323716</v>
      </c>
      <c r="L29">
        <f>BS!L18</f>
        <v>1074.2489058416666</v>
      </c>
      <c r="M29">
        <f>BS!M18</f>
        <v>1117.2188620753334</v>
      </c>
      <c r="N29">
        <f>BS!N18</f>
        <v>1161.9076165583467</v>
      </c>
      <c r="O29">
        <f>BS!O18</f>
        <v>1208.3839212206806</v>
      </c>
    </row>
    <row r="30" spans="1:15">
      <c r="B30" t="s">
        <v>166</v>
      </c>
      <c r="G30">
        <f>SUM(G25:G27)-SUM(G28:G29)</f>
        <v>521.20000000000005</v>
      </c>
      <c r="H30">
        <f t="shared" ref="H30:O30" si="8">SUM(H25:H27)-SUM(H28:H29)</f>
        <v>496.136037494486</v>
      </c>
      <c r="I30">
        <f t="shared" si="8"/>
        <v>539.7574254752185</v>
      </c>
      <c r="J30">
        <f t="shared" si="8"/>
        <v>610.34637173588567</v>
      </c>
      <c r="K30">
        <f t="shared" si="8"/>
        <v>653.52655424292902</v>
      </c>
      <c r="L30">
        <f t="shared" si="8"/>
        <v>679.66761641264611</v>
      </c>
      <c r="M30">
        <f t="shared" si="8"/>
        <v>706.85432106915164</v>
      </c>
      <c r="N30">
        <f t="shared" si="8"/>
        <v>735.12849391191799</v>
      </c>
      <c r="O30">
        <f t="shared" si="8"/>
        <v>764.53363366839449</v>
      </c>
    </row>
    <row r="32" spans="1:15">
      <c r="A32" s="60" t="s">
        <v>167</v>
      </c>
      <c r="H32">
        <v>1</v>
      </c>
      <c r="I32">
        <f>H32+1</f>
        <v>2</v>
      </c>
      <c r="J32">
        <f t="shared" ref="J32:O32" si="9">I32+1</f>
        <v>3</v>
      </c>
      <c r="K32">
        <f t="shared" si="9"/>
        <v>4</v>
      </c>
      <c r="L32">
        <f t="shared" si="9"/>
        <v>5</v>
      </c>
      <c r="M32">
        <f t="shared" si="9"/>
        <v>6</v>
      </c>
      <c r="N32">
        <f t="shared" si="9"/>
        <v>7</v>
      </c>
      <c r="O32">
        <f t="shared" si="9"/>
        <v>8</v>
      </c>
    </row>
    <row r="33" spans="2:15">
      <c r="B33" s="90" t="s">
        <v>168</v>
      </c>
      <c r="H33">
        <f>G37</f>
        <v>185</v>
      </c>
      <c r="I33">
        <f t="shared" ref="I33:O33" si="10">H37</f>
        <v>160.71428571428572</v>
      </c>
      <c r="J33">
        <f t="shared" si="10"/>
        <v>136.42857142857144</v>
      </c>
      <c r="K33">
        <f t="shared" si="10"/>
        <v>112.14285714285715</v>
      </c>
      <c r="L33">
        <f t="shared" si="10"/>
        <v>87.857142857142861</v>
      </c>
      <c r="M33">
        <f t="shared" si="10"/>
        <v>63.571428571428569</v>
      </c>
      <c r="N33">
        <f t="shared" si="10"/>
        <v>39.285714285714285</v>
      </c>
      <c r="O33">
        <f t="shared" si="10"/>
        <v>15</v>
      </c>
    </row>
    <row r="34" spans="2:15">
      <c r="B34" s="90" t="s">
        <v>75</v>
      </c>
      <c r="H34">
        <f>IF(H$32&gt;LBO!$I55,0,LBO!$K55)*-1</f>
        <v>-14.285714285714286</v>
      </c>
      <c r="I34">
        <f>IF(I$32&gt;LBO!$I55,0,LBO!$K55)*-1</f>
        <v>-14.285714285714286</v>
      </c>
      <c r="J34">
        <f>IF(J$32&gt;LBO!$I55,0,LBO!$K55)*-1</f>
        <v>-14.285714285714286</v>
      </c>
      <c r="K34">
        <f>IF(K$32&gt;LBO!$I55,0,LBO!$K55)*-1</f>
        <v>-14.285714285714286</v>
      </c>
      <c r="L34">
        <f>IF(L$32&gt;LBO!$I55,0,LBO!$K55)*-1</f>
        <v>-14.285714285714286</v>
      </c>
      <c r="M34">
        <f>IF(M$32&gt;LBO!$I55,0,LBO!$K55)*-1</f>
        <v>-14.285714285714286</v>
      </c>
      <c r="N34">
        <f>IF(N$32&gt;LBO!$I55,0,LBO!$K55)*-1</f>
        <v>-14.285714285714286</v>
      </c>
      <c r="O34">
        <f>IF(O$32&gt;LBO!$I55,0,LBO!$K55)*-1</f>
        <v>0</v>
      </c>
    </row>
    <row r="35" spans="2:15">
      <c r="B35" s="90" t="s">
        <v>76</v>
      </c>
      <c r="H35">
        <f>IF(H$32&gt;LBO!$I56,0,LBO!$K56)*-1</f>
        <v>-5</v>
      </c>
      <c r="I35">
        <f>IF(I$32&gt;LBO!$I56,0,LBO!$K56)*-1</f>
        <v>-5</v>
      </c>
      <c r="J35">
        <f>IF(J$32&gt;LBO!$I56,0,LBO!$K56)*-1</f>
        <v>-5</v>
      </c>
      <c r="K35">
        <f>IF(K$32&gt;LBO!$I56,0,LBO!$K56)*-1</f>
        <v>-5</v>
      </c>
      <c r="L35">
        <f>IF(L$32&gt;LBO!$I56,0,LBO!$K56)*-1</f>
        <v>-5</v>
      </c>
      <c r="M35">
        <f>IF(M$32&gt;LBO!$I56,0,LBO!$K56)*-1</f>
        <v>-5</v>
      </c>
      <c r="N35">
        <f>IF(N$32&gt;LBO!$I56,0,LBO!$K56)*-1</f>
        <v>-5</v>
      </c>
      <c r="O35">
        <f>IF(O$32&gt;LBO!$I56,0,LBO!$K56)*-1</f>
        <v>-5</v>
      </c>
    </row>
    <row r="36" spans="2:15">
      <c r="B36" s="90" t="s">
        <v>77</v>
      </c>
      <c r="H36">
        <f>IF(H$32&gt;LBO!$I57,0,LBO!$K57)*-1</f>
        <v>-5</v>
      </c>
      <c r="I36">
        <f>IF(I$32&gt;LBO!$I57,0,LBO!$K57)*-1</f>
        <v>-5</v>
      </c>
      <c r="J36">
        <f>IF(J$32&gt;LBO!$I57,0,LBO!$K57)*-1</f>
        <v>-5</v>
      </c>
      <c r="K36">
        <f>IF(K$32&gt;LBO!$I57,0,LBO!$K57)*-1</f>
        <v>-5</v>
      </c>
      <c r="L36">
        <f>IF(L$32&gt;LBO!$I57,0,LBO!$K57)*-1</f>
        <v>-5</v>
      </c>
      <c r="M36">
        <f>IF(M$32&gt;LBO!$I57,0,LBO!$K57)*-1</f>
        <v>-5</v>
      </c>
      <c r="N36">
        <f>IF(N$32&gt;LBO!$I57,0,LBO!$K57)*-1</f>
        <v>-5</v>
      </c>
      <c r="O36">
        <f>IF(O$32&gt;LBO!$I57,0,LBO!$K57)*-1</f>
        <v>-5</v>
      </c>
    </row>
    <row r="37" spans="2:15">
      <c r="B37" s="90" t="s">
        <v>169</v>
      </c>
      <c r="G37">
        <f>LBO!C45</f>
        <v>185</v>
      </c>
      <c r="H37">
        <f t="shared" ref="H37:O37" si="11">SUM(H33:H36)</f>
        <v>160.71428571428572</v>
      </c>
      <c r="I37">
        <f t="shared" si="11"/>
        <v>136.42857142857144</v>
      </c>
      <c r="J37">
        <f t="shared" si="11"/>
        <v>112.14285714285715</v>
      </c>
      <c r="K37">
        <f t="shared" si="11"/>
        <v>87.857142857142861</v>
      </c>
      <c r="L37">
        <f t="shared" si="11"/>
        <v>63.571428571428569</v>
      </c>
      <c r="M37">
        <f t="shared" si="11"/>
        <v>39.285714285714285</v>
      </c>
      <c r="N37">
        <f t="shared" si="11"/>
        <v>15</v>
      </c>
      <c r="O37">
        <f t="shared" si="11"/>
        <v>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R23"/>
  <sheetViews>
    <sheetView workbookViewId="0">
      <selection activeCell="H25" sqref="A25:XFD25"/>
    </sheetView>
    <sheetView workbookViewId="1"/>
  </sheetViews>
  <sheetFormatPr defaultRowHeight="15"/>
  <cols>
    <col min="1" max="1" width="1.5703125" customWidth="1"/>
    <col min="2" max="2" width="20.5703125" customWidth="1"/>
    <col min="3" max="15" width="11.140625" customWidth="1"/>
  </cols>
  <sheetData>
    <row r="1" spans="1:18" ht="28.5">
      <c r="A1" s="5" t="str">
        <f>Title</f>
        <v>Hologic LBO</v>
      </c>
      <c r="B1" s="10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</row>
    <row r="2" spans="1:18" ht="21">
      <c r="A2" s="14" t="s">
        <v>26</v>
      </c>
      <c r="B2" s="7"/>
      <c r="C2" s="11" t="s">
        <v>27</v>
      </c>
      <c r="D2" s="11" t="s">
        <v>27</v>
      </c>
      <c r="E2" s="11"/>
      <c r="F2" s="11"/>
      <c r="G2" s="11"/>
      <c r="H2" s="11" t="s">
        <v>28</v>
      </c>
      <c r="I2" s="11" t="s">
        <v>28</v>
      </c>
      <c r="J2" s="11" t="s">
        <v>28</v>
      </c>
      <c r="K2" s="11" t="s">
        <v>28</v>
      </c>
      <c r="L2" s="11" t="s">
        <v>28</v>
      </c>
      <c r="M2" s="11" t="s">
        <v>28</v>
      </c>
      <c r="N2" s="11" t="s">
        <v>28</v>
      </c>
      <c r="O2" s="11" t="s">
        <v>28</v>
      </c>
    </row>
    <row r="3" spans="1:18" ht="21">
      <c r="A3" s="14" t="e" cm="1">
        <f t="array" aca="1" ref="A3" ca="1">MID(CELL("filename",A3),FIND("]",CELL("filename",A3))+1,255)</f>
        <v>#VALUE!</v>
      </c>
      <c r="B3" s="7"/>
      <c r="C3" s="11">
        <f>EDATE(D3,-12)</f>
        <v>45565</v>
      </c>
      <c r="D3" s="11">
        <f>target_yrend</f>
        <v>45930</v>
      </c>
      <c r="E3" s="11" t="s">
        <v>29</v>
      </c>
      <c r="F3" s="11" t="s">
        <v>30</v>
      </c>
      <c r="G3" s="11" t="s">
        <v>31</v>
      </c>
      <c r="H3" s="11">
        <f>EDATE(D3,12)</f>
        <v>46295</v>
      </c>
      <c r="I3" s="11">
        <f t="shared" ref="I3:O3" si="0">EDATE(H3,12)</f>
        <v>46660</v>
      </c>
      <c r="J3" s="11">
        <f t="shared" si="0"/>
        <v>47026</v>
      </c>
      <c r="K3" s="11">
        <f t="shared" si="0"/>
        <v>47391</v>
      </c>
      <c r="L3" s="11">
        <f t="shared" si="0"/>
        <v>47756</v>
      </c>
      <c r="M3" s="11">
        <f t="shared" si="0"/>
        <v>48121</v>
      </c>
      <c r="N3" s="11">
        <f t="shared" si="0"/>
        <v>48487</v>
      </c>
      <c r="O3" s="11">
        <f t="shared" si="0"/>
        <v>48852</v>
      </c>
    </row>
    <row r="5" spans="1:18">
      <c r="B5" t="s">
        <v>170</v>
      </c>
      <c r="C5" s="75">
        <v>4030.3</v>
      </c>
      <c r="D5" s="75">
        <v>4100.5</v>
      </c>
      <c r="H5">
        <f>(1+Input!H10)*D5</f>
        <v>4285.0225</v>
      </c>
      <c r="I5">
        <f>(1+Input!I10)*H5</f>
        <v>4512.1286924999995</v>
      </c>
      <c r="J5">
        <f>(1+Input!J10)*I5</f>
        <v>4733.2229984324995</v>
      </c>
      <c r="K5">
        <f>(1+Input!K10)*J5</f>
        <v>4950.9512563603948</v>
      </c>
      <c r="L5">
        <f>(1+Input!L10)*K5</f>
        <v>5148.9893066148106</v>
      </c>
      <c r="M5">
        <f>(1+Input!M10)*L5</f>
        <v>5354.9488788794033</v>
      </c>
      <c r="N5">
        <f>(1+Input!N10)*M5</f>
        <v>5569.14683403458</v>
      </c>
      <c r="O5">
        <f>(1+Input!O10)*N5</f>
        <v>5791.9127073959635</v>
      </c>
    </row>
    <row r="6" spans="1:18">
      <c r="B6" t="s">
        <v>171</v>
      </c>
      <c r="H6" s="90">
        <f>LBO!H18</f>
        <v>0</v>
      </c>
      <c r="I6" s="90">
        <f>LBO!I18</f>
        <v>260</v>
      </c>
      <c r="J6" s="90">
        <f>LBO!J18</f>
        <v>663</v>
      </c>
      <c r="K6" s="90">
        <f>LBO!K18</f>
        <v>693.42000000000007</v>
      </c>
      <c r="L6" s="90">
        <f>LBO!L18</f>
        <v>721.15679999999998</v>
      </c>
      <c r="M6" s="90">
        <f>LBO!M18</f>
        <v>750.00307200000009</v>
      </c>
      <c r="N6" s="90">
        <f>LBO!N18</f>
        <v>780.00319488000014</v>
      </c>
      <c r="O6" s="90">
        <f>LBO!O18</f>
        <v>811.20332267520018</v>
      </c>
    </row>
    <row r="7" spans="1:18">
      <c r="B7" t="s">
        <v>170</v>
      </c>
      <c r="C7" s="75">
        <v>4030.3</v>
      </c>
      <c r="D7" s="75">
        <v>4100.5</v>
      </c>
      <c r="H7">
        <f>SUM(H5:H6)</f>
        <v>4285.0225</v>
      </c>
      <c r="I7">
        <f t="shared" ref="I7:O7" si="1">SUM(I5:I6)</f>
        <v>4772.1286924999995</v>
      </c>
      <c r="J7">
        <f t="shared" si="1"/>
        <v>5396.2229984324995</v>
      </c>
      <c r="K7">
        <f t="shared" si="1"/>
        <v>5644.3712563603949</v>
      </c>
      <c r="L7">
        <f t="shared" si="1"/>
        <v>5870.1461066148104</v>
      </c>
      <c r="M7">
        <f t="shared" si="1"/>
        <v>6104.9519508794037</v>
      </c>
      <c r="N7">
        <f t="shared" si="1"/>
        <v>6349.1500289145806</v>
      </c>
      <c r="O7">
        <f t="shared" si="1"/>
        <v>6603.1160300711636</v>
      </c>
    </row>
    <row r="8" spans="1:18">
      <c r="B8" t="s">
        <v>172</v>
      </c>
      <c r="C8" s="75"/>
      <c r="D8" s="75"/>
      <c r="H8" s="90">
        <f>LBO!H22*-1</f>
        <v>0</v>
      </c>
      <c r="I8" s="90">
        <f>LBO!I22*-1</f>
        <v>-182</v>
      </c>
      <c r="J8" s="90">
        <f>LBO!J22*-1</f>
        <v>-450.45000000000005</v>
      </c>
      <c r="K8" s="90">
        <f>LBO!K22*-1</f>
        <v>-436.52700000000004</v>
      </c>
      <c r="L8" s="90">
        <f>LBO!L22*-1</f>
        <v>-432.69407999999999</v>
      </c>
      <c r="M8" s="90">
        <f>LBO!M22*-1</f>
        <v>-450.00184320000005</v>
      </c>
      <c r="N8" s="90">
        <f>LBO!N22*-1</f>
        <v>-468.00191692800001</v>
      </c>
      <c r="O8" s="90">
        <f>LBO!O22*-1</f>
        <v>-486.72199360512013</v>
      </c>
    </row>
    <row r="9" spans="1:18">
      <c r="B9" t="s">
        <v>173</v>
      </c>
      <c r="C9" s="75">
        <v>-1792.5</v>
      </c>
      <c r="D9" s="75">
        <v>-1813.6</v>
      </c>
      <c r="F9" s="58"/>
      <c r="G9" s="58"/>
      <c r="H9">
        <f>H7*Input!H11</f>
        <v>-1714.009</v>
      </c>
      <c r="I9">
        <f>I7*Input!I11</f>
        <v>-1861.130190075</v>
      </c>
      <c r="J9">
        <f>J7*Input!J11</f>
        <v>-2104.5269693886748</v>
      </c>
      <c r="K9">
        <f>K7*Input!K11</f>
        <v>-2257.7485025441579</v>
      </c>
      <c r="L9">
        <f>L7*Input!L11</f>
        <v>-2348.0584426459241</v>
      </c>
      <c r="M9">
        <f>M7*Input!M11</f>
        <v>-2441.9807803517615</v>
      </c>
      <c r="N9">
        <f>N7*Input!N11</f>
        <v>-2539.6600115658325</v>
      </c>
      <c r="O9">
        <f>O7*Input!O11</f>
        <v>-2641.2464120284658</v>
      </c>
      <c r="R9" s="76"/>
    </row>
    <row r="10" spans="1:18">
      <c r="B10" t="s">
        <v>174</v>
      </c>
      <c r="C10">
        <f>SUM(C7:C9)</f>
        <v>2237.8000000000002</v>
      </c>
      <c r="D10">
        <f>SUM(D7:D9)</f>
        <v>2286.9</v>
      </c>
      <c r="H10">
        <f t="shared" ref="H10" si="2">SUM(H7:H9)</f>
        <v>2571.0135</v>
      </c>
      <c r="I10">
        <f t="shared" ref="I10" si="3">SUM(I7:I9)</f>
        <v>2728.9985024249995</v>
      </c>
      <c r="J10">
        <f t="shared" ref="J10" si="4">SUM(J7:J9)</f>
        <v>2841.2460290438248</v>
      </c>
      <c r="K10">
        <f t="shared" ref="K10" si="5">SUM(K7:K9)</f>
        <v>2950.095753816237</v>
      </c>
      <c r="L10">
        <f t="shared" ref="L10" si="6">SUM(L7:L9)</f>
        <v>3089.3935839688861</v>
      </c>
      <c r="M10">
        <f t="shared" ref="M10" si="7">SUM(M7:M9)</f>
        <v>3212.9693273276425</v>
      </c>
      <c r="N10">
        <f t="shared" ref="N10" si="8">SUM(N7:N9)</f>
        <v>3341.4881004207477</v>
      </c>
      <c r="O10">
        <f t="shared" ref="O10" si="9">SUM(O7:O9)</f>
        <v>3475.1476244375772</v>
      </c>
      <c r="R10" s="76"/>
    </row>
    <row r="11" spans="1:18">
      <c r="B11" t="s">
        <v>175</v>
      </c>
      <c r="C11" s="75">
        <v>-1267.5999999999999</v>
      </c>
      <c r="D11" s="75">
        <v>-1318.1</v>
      </c>
      <c r="H11">
        <f>H7*Input!H12</f>
        <v>-1264.0816374999999</v>
      </c>
      <c r="I11">
        <f>I7*Input!I12</f>
        <v>-1431.6386077499999</v>
      </c>
      <c r="J11">
        <f>J7*Input!J12</f>
        <v>-1618.8668995297498</v>
      </c>
      <c r="K11">
        <f>K7*Input!K12</f>
        <v>-1693.3113769081185</v>
      </c>
      <c r="L11">
        <f>L7*Input!L12</f>
        <v>-1761.0438319844432</v>
      </c>
      <c r="M11">
        <f>M7*Input!M12</f>
        <v>-1831.4855852638211</v>
      </c>
      <c r="N11">
        <f>N7*Input!N12</f>
        <v>-1904.745008674374</v>
      </c>
      <c r="O11">
        <f>O7*Input!O12</f>
        <v>-1980.9348090213489</v>
      </c>
      <c r="R11" s="76"/>
    </row>
    <row r="12" spans="1:18">
      <c r="B12" t="s">
        <v>140</v>
      </c>
      <c r="C12" s="75">
        <v>-107.7</v>
      </c>
      <c r="D12" s="75">
        <v>-247.2</v>
      </c>
      <c r="H12">
        <f>Input!H13</f>
        <v>0</v>
      </c>
      <c r="I12">
        <f>Input!I13</f>
        <v>0</v>
      </c>
      <c r="J12">
        <f>Input!J13</f>
        <v>0</v>
      </c>
      <c r="K12">
        <f>Input!K13</f>
        <v>0</v>
      </c>
      <c r="L12">
        <f>Input!L13</f>
        <v>0</v>
      </c>
      <c r="M12">
        <f>Input!M13</f>
        <v>0</v>
      </c>
      <c r="N12">
        <f>Input!N13</f>
        <v>0</v>
      </c>
      <c r="O12">
        <f>Input!O13</f>
        <v>0</v>
      </c>
      <c r="R12" s="76"/>
    </row>
    <row r="13" spans="1:18">
      <c r="B13" t="s">
        <v>176</v>
      </c>
      <c r="H13">
        <f>Input!H16*IS!$D$7</f>
        <v>82.009999999999991</v>
      </c>
      <c r="I13">
        <f>Input!I16*IS!$D$7</f>
        <v>102.51249999999999</v>
      </c>
      <c r="J13">
        <f>Input!J16*IS!$D$7</f>
        <v>123.015</v>
      </c>
      <c r="K13">
        <f>Input!K16*IS!$D$7</f>
        <v>123.015</v>
      </c>
      <c r="L13">
        <f>Input!L16*IS!$D$7</f>
        <v>123.015</v>
      </c>
      <c r="M13">
        <f>Input!M16*IS!$D$7</f>
        <v>123.015</v>
      </c>
      <c r="N13">
        <f>Input!N16*IS!$D$7</f>
        <v>123.015</v>
      </c>
      <c r="O13">
        <f>Input!O16*IS!$D$7</f>
        <v>123.015</v>
      </c>
      <c r="R13" s="76"/>
    </row>
    <row r="14" spans="1:18">
      <c r="B14" t="s">
        <v>177</v>
      </c>
      <c r="C14">
        <f>SUM(C10:C13)</f>
        <v>862.50000000000023</v>
      </c>
      <c r="D14">
        <f>SUM(D10:D13)</f>
        <v>721.60000000000014</v>
      </c>
      <c r="H14">
        <f t="shared" ref="H14" si="10">SUM(H10:H13)</f>
        <v>1388.9418625000001</v>
      </c>
      <c r="I14">
        <f t="shared" ref="I14" si="11">SUM(I10:I13)</f>
        <v>1399.8723946749997</v>
      </c>
      <c r="J14">
        <f t="shared" ref="J14" si="12">SUM(J10:J13)</f>
        <v>1345.3941295140751</v>
      </c>
      <c r="K14">
        <f t="shared" ref="K14" si="13">SUM(K10:K13)</f>
        <v>1379.7993769081186</v>
      </c>
      <c r="L14">
        <f t="shared" ref="L14" si="14">SUM(L10:L13)</f>
        <v>1451.364751984443</v>
      </c>
      <c r="M14">
        <f t="shared" ref="M14" si="15">SUM(M10:M13)</f>
        <v>1504.4987420638215</v>
      </c>
      <c r="N14">
        <f t="shared" ref="N14" si="16">SUM(N10:N13)</f>
        <v>1559.7580917463738</v>
      </c>
      <c r="O14">
        <f t="shared" ref="O14" si="17">SUM(O10:O13)</f>
        <v>1617.2278154162284</v>
      </c>
      <c r="R14" s="76"/>
    </row>
    <row r="15" spans="1:18">
      <c r="B15" t="s">
        <v>178</v>
      </c>
      <c r="C15" s="59">
        <f>-122.1+124.7</f>
        <v>2.6000000000000085</v>
      </c>
      <c r="D15" s="59">
        <f>-117.1+76.7</f>
        <v>-40.399999999999991</v>
      </c>
      <c r="H15">
        <f ca="1">IF(switch=1, Debt!H74,0)</f>
        <v>-717.67587142834748</v>
      </c>
      <c r="I15">
        <f ca="1">IF(switch=1, Debt!I74,0)</f>
        <v>-769.69511996971437</v>
      </c>
      <c r="J15">
        <f ca="1">IF(switch=1, Debt!J74,0)</f>
        <v>-896.93053381317884</v>
      </c>
      <c r="K15">
        <f ca="1">IF(switch=1, Debt!K74,0)</f>
        <v>-983.03195382342096</v>
      </c>
      <c r="L15">
        <f ca="1">IF(switch=1, Debt!L74,0)</f>
        <v>-962.23932553725319</v>
      </c>
      <c r="M15">
        <f ca="1">IF(switch=1, Debt!M74,0)</f>
        <v>-935.0241954832469</v>
      </c>
      <c r="N15">
        <f ca="1">IF(switch=1, Debt!N74,0)</f>
        <v>-905.83148441662036</v>
      </c>
      <c r="O15">
        <f ca="1">IF(switch=1, Debt!O74,0)</f>
        <v>-835.94400818906797</v>
      </c>
    </row>
    <row r="16" spans="1:18">
      <c r="B16" t="s">
        <v>179</v>
      </c>
      <c r="C16">
        <f>SUM(C14:C15)</f>
        <v>865.10000000000025</v>
      </c>
      <c r="D16">
        <f>SUM(D14:D15)</f>
        <v>681.20000000000016</v>
      </c>
      <c r="H16">
        <f ca="1">SUM(H14:H15)</f>
        <v>671.26599107165259</v>
      </c>
      <c r="I16">
        <f t="shared" ref="I16:O16" ca="1" si="18">SUM(I14:I15)</f>
        <v>630.1772747052853</v>
      </c>
      <c r="J16">
        <f t="shared" ca="1" si="18"/>
        <v>448.46359570089624</v>
      </c>
      <c r="K16">
        <f t="shared" ca="1" si="18"/>
        <v>396.76742308469761</v>
      </c>
      <c r="L16">
        <f t="shared" ca="1" si="18"/>
        <v>489.12542644718985</v>
      </c>
      <c r="M16">
        <f t="shared" ca="1" si="18"/>
        <v>569.47454658057461</v>
      </c>
      <c r="N16">
        <f t="shared" ca="1" si="18"/>
        <v>653.92660732975344</v>
      </c>
      <c r="O16">
        <f t="shared" ca="1" si="18"/>
        <v>781.28380722716042</v>
      </c>
    </row>
    <row r="17" spans="2:18">
      <c r="B17" t="s">
        <v>180</v>
      </c>
      <c r="C17" s="75">
        <v>-75.599999999999994</v>
      </c>
      <c r="D17" s="75">
        <v>-115.5</v>
      </c>
      <c r="H17">
        <f ca="1">Input!H18*IS!H16</f>
        <v>-127.540538303614</v>
      </c>
      <c r="I17">
        <f ca="1">Input!I18*IS!I16</f>
        <v>-119.7336821940042</v>
      </c>
      <c r="J17">
        <f ca="1">Input!J18*IS!J16</f>
        <v>-80.723447226161326</v>
      </c>
      <c r="K17">
        <f ca="1">Input!K18*IS!K16</f>
        <v>-75.385810386092544</v>
      </c>
      <c r="L17">
        <f ca="1">Input!L18*IS!L16</f>
        <v>-92.933831024966068</v>
      </c>
      <c r="M17">
        <f ca="1">Input!M18*IS!M16</f>
        <v>-108.20016385030918</v>
      </c>
      <c r="N17">
        <f ca="1">Input!N18*IS!N16</f>
        <v>-124.24605539265316</v>
      </c>
      <c r="O17">
        <f ca="1">Input!O18*IS!O16</f>
        <v>-148.44392337316049</v>
      </c>
    </row>
    <row r="18" spans="2:18">
      <c r="B18" t="s">
        <v>163</v>
      </c>
      <c r="C18">
        <f>C16+C17</f>
        <v>789.50000000000023</v>
      </c>
      <c r="D18">
        <f>D16+D17</f>
        <v>565.70000000000016</v>
      </c>
      <c r="H18">
        <f t="shared" ref="H18:O18" ca="1" si="19">H16+H17</f>
        <v>543.72545276803862</v>
      </c>
      <c r="I18">
        <f t="shared" ca="1" si="19"/>
        <v>510.44359251128111</v>
      </c>
      <c r="J18">
        <f t="shared" ca="1" si="19"/>
        <v>367.74014847473489</v>
      </c>
      <c r="K18">
        <f t="shared" ca="1" si="19"/>
        <v>321.38161269860507</v>
      </c>
      <c r="L18">
        <f t="shared" ca="1" si="19"/>
        <v>396.19159542222377</v>
      </c>
      <c r="M18">
        <f t="shared" ca="1" si="19"/>
        <v>461.27438273026542</v>
      </c>
      <c r="N18">
        <f t="shared" ca="1" si="19"/>
        <v>529.68055193710029</v>
      </c>
      <c r="O18">
        <f t="shared" ca="1" si="19"/>
        <v>632.83988385399994</v>
      </c>
    </row>
    <row r="19" spans="2:18">
      <c r="R19" s="76"/>
    </row>
    <row r="20" spans="2:18">
      <c r="B20" t="s">
        <v>181</v>
      </c>
      <c r="C20">
        <f>C14</f>
        <v>862.50000000000023</v>
      </c>
      <c r="D20">
        <f>D14</f>
        <v>721.60000000000014</v>
      </c>
      <c r="H20">
        <f t="shared" ref="H20:O20" si="20">H14</f>
        <v>1388.9418625000001</v>
      </c>
      <c r="I20">
        <f t="shared" si="20"/>
        <v>1399.8723946749997</v>
      </c>
      <c r="J20">
        <f t="shared" si="20"/>
        <v>1345.3941295140751</v>
      </c>
      <c r="K20">
        <f t="shared" si="20"/>
        <v>1379.7993769081186</v>
      </c>
      <c r="L20">
        <f t="shared" si="20"/>
        <v>1451.364751984443</v>
      </c>
      <c r="M20">
        <f t="shared" si="20"/>
        <v>1504.4987420638215</v>
      </c>
      <c r="N20">
        <f t="shared" si="20"/>
        <v>1559.7580917463738</v>
      </c>
      <c r="O20">
        <f t="shared" si="20"/>
        <v>1617.2278154162284</v>
      </c>
      <c r="R20" s="76"/>
    </row>
    <row r="21" spans="2:18">
      <c r="B21" t="s">
        <v>140</v>
      </c>
      <c r="C21">
        <f>C12*-1</f>
        <v>107.7</v>
      </c>
      <c r="D21">
        <f>D12*-1</f>
        <v>247.2</v>
      </c>
      <c r="H21">
        <f t="shared" ref="H21:O21" si="21">H12*-1</f>
        <v>0</v>
      </c>
      <c r="I21">
        <f t="shared" si="21"/>
        <v>0</v>
      </c>
      <c r="J21">
        <f t="shared" si="21"/>
        <v>0</v>
      </c>
      <c r="K21">
        <f t="shared" si="21"/>
        <v>0</v>
      </c>
      <c r="L21">
        <f t="shared" si="21"/>
        <v>0</v>
      </c>
      <c r="M21">
        <f t="shared" si="21"/>
        <v>0</v>
      </c>
      <c r="N21">
        <f t="shared" si="21"/>
        <v>0</v>
      </c>
      <c r="O21">
        <f t="shared" si="21"/>
        <v>0</v>
      </c>
      <c r="R21" s="76"/>
    </row>
    <row r="22" spans="2:18">
      <c r="B22" t="s">
        <v>182</v>
      </c>
      <c r="C22">
        <f>Calc!C9*-1</f>
        <v>99.3</v>
      </c>
      <c r="D22">
        <f>Calc!D9*-1</f>
        <v>108.9</v>
      </c>
      <c r="H22">
        <f>Calc!H9*-1</f>
        <v>111.18</v>
      </c>
      <c r="I22">
        <f>Calc!I9*-1</f>
        <v>289.23219152500002</v>
      </c>
      <c r="J22">
        <f>Calc!J9*-1</f>
        <v>521.83436093067507</v>
      </c>
      <c r="K22">
        <f>Calc!K9*-1</f>
        <v>462.4779726839331</v>
      </c>
      <c r="L22">
        <f>Calc!L9*-1</f>
        <v>414.56209696226506</v>
      </c>
      <c r="M22">
        <f>Calc!M9*-1</f>
        <v>376.02013529866457</v>
      </c>
      <c r="N22">
        <f>Calc!N9*-1</f>
        <v>345.30765091067559</v>
      </c>
      <c r="O22">
        <f>Calc!O9*-1</f>
        <v>321.14472641315604</v>
      </c>
    </row>
    <row r="23" spans="2:18">
      <c r="B23" t="s">
        <v>90</v>
      </c>
      <c r="C23">
        <f>SUM(C20:C22)</f>
        <v>1069.5000000000002</v>
      </c>
      <c r="D23">
        <f>SUM(D20:D22)</f>
        <v>1077.7000000000003</v>
      </c>
      <c r="H23">
        <f t="shared" ref="H23" si="22">SUM(H20:H22)</f>
        <v>1500.1218625000001</v>
      </c>
      <c r="I23">
        <f t="shared" ref="I23" si="23">SUM(I20:I22)</f>
        <v>1689.1045861999996</v>
      </c>
      <c r="J23">
        <f t="shared" ref="J23" si="24">SUM(J20:J22)</f>
        <v>1867.2284904447502</v>
      </c>
      <c r="K23">
        <f t="shared" ref="K23" si="25">SUM(K20:K22)</f>
        <v>1842.2773495920517</v>
      </c>
      <c r="L23">
        <f t="shared" ref="L23" si="26">SUM(L20:L22)</f>
        <v>1865.9268489467081</v>
      </c>
      <c r="M23">
        <f t="shared" ref="M23" si="27">SUM(M20:M22)</f>
        <v>1880.5188773624861</v>
      </c>
      <c r="N23">
        <f t="shared" ref="N23" si="28">SUM(N20:N22)</f>
        <v>1905.0657426570494</v>
      </c>
      <c r="O23">
        <f t="shared" ref="O23" si="29">SUM(O20:O22)</f>
        <v>1938.3725418293843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39"/>
  <sheetViews>
    <sheetView workbookViewId="0">
      <selection activeCell="H24" sqref="H24:O24"/>
    </sheetView>
    <sheetView workbookViewId="1"/>
  </sheetViews>
  <sheetFormatPr defaultRowHeight="15"/>
  <cols>
    <col min="1" max="1" width="1.5703125" customWidth="1"/>
    <col min="2" max="2" width="20.5703125" customWidth="1"/>
    <col min="3" max="15" width="11.140625" customWidth="1"/>
  </cols>
  <sheetData>
    <row r="1" spans="1:15" ht="28.5">
      <c r="A1" s="5" t="str">
        <f>Title</f>
        <v>Hologic LBO</v>
      </c>
      <c r="B1" s="10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</row>
    <row r="2" spans="1:15" ht="21">
      <c r="A2" s="14" t="s">
        <v>26</v>
      </c>
      <c r="B2" s="7"/>
      <c r="C2" s="11" t="s">
        <v>27</v>
      </c>
      <c r="D2" s="11" t="s">
        <v>27</v>
      </c>
      <c r="E2" s="11"/>
      <c r="F2" s="11"/>
      <c r="G2" s="11"/>
      <c r="H2" s="11" t="s">
        <v>28</v>
      </c>
      <c r="I2" s="11" t="s">
        <v>28</v>
      </c>
      <c r="J2" s="11" t="s">
        <v>28</v>
      </c>
      <c r="K2" s="11" t="s">
        <v>28</v>
      </c>
      <c r="L2" s="11" t="s">
        <v>28</v>
      </c>
      <c r="M2" s="11" t="s">
        <v>28</v>
      </c>
      <c r="N2" s="11" t="s">
        <v>28</v>
      </c>
      <c r="O2" s="11" t="s">
        <v>28</v>
      </c>
    </row>
    <row r="3" spans="1:15" ht="21">
      <c r="A3" s="14" t="e" cm="1">
        <f t="array" aca="1" ref="A3" ca="1">MID(CELL("filename",A3),FIND("]",CELL("filename",A3))+1,255)</f>
        <v>#VALUE!</v>
      </c>
      <c r="B3" s="7"/>
      <c r="C3" s="11">
        <f>EDATE(D3,-12)</f>
        <v>45565</v>
      </c>
      <c r="D3" s="11">
        <f>target_yrend</f>
        <v>45930</v>
      </c>
      <c r="E3" s="11" t="s">
        <v>29</v>
      </c>
      <c r="F3" s="11" t="s">
        <v>30</v>
      </c>
      <c r="G3" s="11" t="s">
        <v>31</v>
      </c>
      <c r="H3" s="11">
        <f>EDATE(D3,12)</f>
        <v>46295</v>
      </c>
      <c r="I3" s="11">
        <f t="shared" ref="I3:O3" si="0">EDATE(H3,12)</f>
        <v>46660</v>
      </c>
      <c r="J3" s="11">
        <f t="shared" si="0"/>
        <v>47026</v>
      </c>
      <c r="K3" s="11">
        <f t="shared" si="0"/>
        <v>47391</v>
      </c>
      <c r="L3" s="11">
        <f t="shared" si="0"/>
        <v>47756</v>
      </c>
      <c r="M3" s="11">
        <f t="shared" si="0"/>
        <v>48121</v>
      </c>
      <c r="N3" s="11">
        <f t="shared" si="0"/>
        <v>48487</v>
      </c>
      <c r="O3" s="11">
        <f t="shared" si="0"/>
        <v>48852</v>
      </c>
    </row>
    <row r="5" spans="1:15">
      <c r="B5" t="s">
        <v>183</v>
      </c>
      <c r="C5" s="59">
        <v>2334</v>
      </c>
      <c r="D5" s="59">
        <v>2203</v>
      </c>
      <c r="F5">
        <f>-D5</f>
        <v>-2203</v>
      </c>
      <c r="G5">
        <f>SUM(D5:F5)</f>
        <v>0</v>
      </c>
      <c r="H5">
        <f ca="1">CFS!H27</f>
        <v>0</v>
      </c>
      <c r="I5">
        <f ca="1">CFS!I27</f>
        <v>0</v>
      </c>
      <c r="J5">
        <f ca="1">CFS!J27</f>
        <v>0</v>
      </c>
      <c r="K5">
        <f ca="1">CFS!K27</f>
        <v>195.94639474658049</v>
      </c>
      <c r="L5">
        <f ca="1">CFS!L27</f>
        <v>275.05838715884818</v>
      </c>
      <c r="M5">
        <f ca="1">CFS!M27</f>
        <v>307.82873884121148</v>
      </c>
      <c r="N5">
        <f ca="1">CFS!N27</f>
        <v>332.73594138494707</v>
      </c>
      <c r="O5">
        <f ca="1">CFS!O27</f>
        <v>0</v>
      </c>
    </row>
    <row r="6" spans="1:15">
      <c r="B6" t="s">
        <v>184</v>
      </c>
      <c r="C6" s="59">
        <v>600</v>
      </c>
      <c r="D6" s="59">
        <v>601</v>
      </c>
      <c r="G6">
        <f>SUM(D6:F6)</f>
        <v>601</v>
      </c>
      <c r="H6">
        <f>Input!H22/365*IS!H7</f>
        <v>628.04499999999996</v>
      </c>
      <c r="I6">
        <f>Input!I22/365*IS!I7</f>
        <v>699.43893286001696</v>
      </c>
      <c r="J6">
        <f>Input!J22/365*IS!J7</f>
        <v>790.91086990804342</v>
      </c>
      <c r="K6">
        <f>Input!K22/365*IS!K7</f>
        <v>827.28133765945552</v>
      </c>
      <c r="L6">
        <f>Input!L22/365*IS!L7</f>
        <v>860.37259116583368</v>
      </c>
      <c r="M6">
        <f>Input!M22/365*IS!M7</f>
        <v>894.78749481246712</v>
      </c>
      <c r="N6">
        <f>Input!N22/365*IS!N7</f>
        <v>930.57899460496594</v>
      </c>
      <c r="O6">
        <f>Input!O22/365*IS!O7</f>
        <v>967.80215438916457</v>
      </c>
    </row>
    <row r="7" spans="1:15">
      <c r="B7" t="s">
        <v>185</v>
      </c>
      <c r="C7" s="59">
        <v>680</v>
      </c>
      <c r="D7" s="59">
        <v>679</v>
      </c>
      <c r="G7">
        <f>SUM(D7:F7)</f>
        <v>679</v>
      </c>
      <c r="H7">
        <f>Input!H21/365*IS!H9</f>
        <v>641.71377977503312</v>
      </c>
      <c r="I7">
        <f>Input!I21/365*IS!I9</f>
        <v>696.79499286552982</v>
      </c>
      <c r="J7">
        <f>Input!J21/365*IS!J9</f>
        <v>787.92115803645243</v>
      </c>
      <c r="K7">
        <f>Input!K21/365*IS!K9</f>
        <v>845.28629975048693</v>
      </c>
      <c r="L7">
        <f>Input!L21/365*IS!L9</f>
        <v>879.0977517405064</v>
      </c>
      <c r="M7">
        <f>Input!M21/365*IS!M9</f>
        <v>914.26166181012684</v>
      </c>
      <c r="N7">
        <f>Input!N21/365*IS!N9</f>
        <v>950.83212828253215</v>
      </c>
      <c r="O7">
        <f>Input!O21/365*IS!O9</f>
        <v>988.86541341383338</v>
      </c>
    </row>
    <row r="8" spans="1:15">
      <c r="B8" t="s">
        <v>186</v>
      </c>
      <c r="C8" s="59">
        <v>210</v>
      </c>
      <c r="D8" s="59">
        <v>185</v>
      </c>
      <c r="G8">
        <f>SUM(D8:F8)</f>
        <v>185</v>
      </c>
      <c r="H8">
        <f>Input!H23*IS!H7</f>
        <v>193.32499999999999</v>
      </c>
      <c r="I8">
        <f>Input!I23*IS!I7</f>
        <v>215.30150179551271</v>
      </c>
      <c r="J8">
        <f>Input!J23*IS!J7</f>
        <v>243.45842085355747</v>
      </c>
      <c r="K8">
        <f>Input!K23*IS!K7</f>
        <v>254.65398912978247</v>
      </c>
      <c r="L8">
        <f>Input!L23*IS!L7</f>
        <v>264.84014869497378</v>
      </c>
      <c r="M8">
        <f>Input!M23*IS!M7</f>
        <v>275.43375464277273</v>
      </c>
      <c r="N8">
        <f>Input!N23*IS!N7</f>
        <v>286.45110482848366</v>
      </c>
      <c r="O8">
        <f>Input!O23*IS!O7</f>
        <v>297.90914902162302</v>
      </c>
    </row>
    <row r="9" spans="1:15">
      <c r="B9" t="s">
        <v>187</v>
      </c>
      <c r="C9">
        <f>SUM(C5:C8)</f>
        <v>3824</v>
      </c>
      <c r="D9">
        <f>SUM(D5:D8)</f>
        <v>3668</v>
      </c>
      <c r="G9">
        <f>SUM(G5:G8)</f>
        <v>1465</v>
      </c>
      <c r="H9">
        <f ca="1">SUM(H5:H8)</f>
        <v>1463.083779775033</v>
      </c>
      <c r="I9">
        <f t="shared" ref="I9:O9" ca="1" si="1">SUM(I5:I8)</f>
        <v>1611.5354275210593</v>
      </c>
      <c r="J9">
        <f t="shared" ca="1" si="1"/>
        <v>1822.2904487980534</v>
      </c>
      <c r="K9">
        <f t="shared" ca="1" si="1"/>
        <v>2123.1680212863052</v>
      </c>
      <c r="L9">
        <f t="shared" ca="1" si="1"/>
        <v>2279.3688787601618</v>
      </c>
      <c r="M9">
        <f t="shared" ca="1" si="1"/>
        <v>2392.3116501065783</v>
      </c>
      <c r="N9">
        <f t="shared" ca="1" si="1"/>
        <v>2500.5981691009288</v>
      </c>
      <c r="O9">
        <f t="shared" ca="1" si="1"/>
        <v>2254.5767168246207</v>
      </c>
    </row>
    <row r="11" spans="1:15">
      <c r="B11" t="s">
        <v>188</v>
      </c>
      <c r="C11" s="59">
        <v>630</v>
      </c>
      <c r="D11" s="59">
        <v>654</v>
      </c>
      <c r="G11">
        <f>SUM(D11:F11)</f>
        <v>654</v>
      </c>
      <c r="H11">
        <f>Calc!H10</f>
        <v>1701.3658324999999</v>
      </c>
      <c r="I11">
        <f>Calc!I10</f>
        <v>3069.6138878275001</v>
      </c>
      <c r="J11">
        <f>Calc!J10</f>
        <v>2720.458662846665</v>
      </c>
      <c r="K11">
        <f>Calc!K10</f>
        <v>2438.6005703662649</v>
      </c>
      <c r="L11">
        <f>Calc!L10</f>
        <v>2211.8831488156738</v>
      </c>
      <c r="M11">
        <f>Calc!M10</f>
        <v>2031.2214759451504</v>
      </c>
      <c r="N11">
        <f>Calc!N10</f>
        <v>1889.0866259597412</v>
      </c>
      <c r="O11">
        <f>Calc!O10</f>
        <v>1779.2416125088625</v>
      </c>
    </row>
    <row r="12" spans="1:15">
      <c r="B12" t="s">
        <v>189</v>
      </c>
      <c r="C12" s="87">
        <f>129+136+845+151</f>
        <v>1261</v>
      </c>
      <c r="D12" s="59">
        <f>240+145+589+79</f>
        <v>1053</v>
      </c>
      <c r="G12">
        <f>SUM(D12:F12)</f>
        <v>1053</v>
      </c>
      <c r="H12">
        <f>Input!H25</f>
        <v>1053</v>
      </c>
      <c r="I12">
        <f>Input!I25</f>
        <v>1053</v>
      </c>
      <c r="J12">
        <f>Input!J25</f>
        <v>1053</v>
      </c>
      <c r="K12">
        <f>Input!K25</f>
        <v>1053</v>
      </c>
      <c r="L12">
        <f>Input!L25</f>
        <v>1053</v>
      </c>
      <c r="M12">
        <f>Input!M25</f>
        <v>1053</v>
      </c>
      <c r="N12">
        <f>Input!N25</f>
        <v>1053</v>
      </c>
      <c r="O12">
        <f>Input!O25</f>
        <v>1053</v>
      </c>
    </row>
    <row r="13" spans="1:15">
      <c r="B13" t="s">
        <v>103</v>
      </c>
      <c r="C13" s="59">
        <v>3443</v>
      </c>
      <c r="D13" s="59">
        <v>3641</v>
      </c>
      <c r="E13">
        <f>-D13+LBO!D72</f>
        <v>12781.205400000003</v>
      </c>
      <c r="G13">
        <f>SUM(D13:F13)</f>
        <v>16422.205400000003</v>
      </c>
      <c r="H13">
        <f>G13</f>
        <v>16422.205400000003</v>
      </c>
      <c r="I13">
        <f t="shared" ref="I13:O13" si="2">H13</f>
        <v>16422.205400000003</v>
      </c>
      <c r="J13">
        <f t="shared" si="2"/>
        <v>16422.205400000003</v>
      </c>
      <c r="K13">
        <f t="shared" si="2"/>
        <v>16422.205400000003</v>
      </c>
      <c r="L13">
        <f t="shared" si="2"/>
        <v>16422.205400000003</v>
      </c>
      <c r="M13">
        <f t="shared" si="2"/>
        <v>16422.205400000003</v>
      </c>
      <c r="N13">
        <f t="shared" si="2"/>
        <v>16422.205400000003</v>
      </c>
      <c r="O13">
        <f t="shared" si="2"/>
        <v>16422.205400000003</v>
      </c>
    </row>
    <row r="14" spans="1:15">
      <c r="B14" t="s">
        <v>190</v>
      </c>
      <c r="C14">
        <f>SUM(C9,C11:C13)</f>
        <v>9158</v>
      </c>
      <c r="D14">
        <f>SUM(D9,D11:D13)</f>
        <v>9016</v>
      </c>
      <c r="G14">
        <f t="shared" ref="G14:O14" si="3">SUM(G9,G11:G13)</f>
        <v>19594.205400000003</v>
      </c>
      <c r="H14">
        <f t="shared" ca="1" si="3"/>
        <v>20639.655012275034</v>
      </c>
      <c r="I14">
        <f t="shared" ca="1" si="3"/>
        <v>22156.354715348563</v>
      </c>
      <c r="J14">
        <f t="shared" ca="1" si="3"/>
        <v>22017.954511644719</v>
      </c>
      <c r="K14">
        <f t="shared" ca="1" si="3"/>
        <v>22036.973991652572</v>
      </c>
      <c r="L14">
        <f t="shared" ca="1" si="3"/>
        <v>21966.457427575839</v>
      </c>
      <c r="M14">
        <f t="shared" ca="1" si="3"/>
        <v>21898.738526051733</v>
      </c>
      <c r="N14">
        <f t="shared" ca="1" si="3"/>
        <v>21864.890195060674</v>
      </c>
      <c r="O14">
        <f t="shared" ca="1" si="3"/>
        <v>21509.023729333487</v>
      </c>
    </row>
    <row r="16" spans="1:15">
      <c r="B16" t="s">
        <v>74</v>
      </c>
      <c r="C16" s="59">
        <v>64.8</v>
      </c>
      <c r="D16" s="59">
        <v>33.4</v>
      </c>
      <c r="F16" s="30">
        <f>-D16+LBO!C54</f>
        <v>-33.4</v>
      </c>
      <c r="G16">
        <f>SUM(D16:F16)</f>
        <v>0</v>
      </c>
      <c r="H16">
        <f ca="1">Debt!H23</f>
        <v>274.2907029407329</v>
      </c>
      <c r="I16">
        <f ca="1">Debt!I23</f>
        <v>949.83083945196984</v>
      </c>
      <c r="J16">
        <f ca="1">Debt!J23</f>
        <v>53.446697971352819</v>
      </c>
      <c r="K16">
        <f ca="1">Debt!K23</f>
        <v>0</v>
      </c>
      <c r="L16">
        <f ca="1">Debt!L23</f>
        <v>0</v>
      </c>
      <c r="M16">
        <f ca="1">Debt!M23</f>
        <v>0</v>
      </c>
      <c r="N16">
        <f ca="1">Debt!N23</f>
        <v>0</v>
      </c>
      <c r="O16">
        <f ca="1">Debt!O23</f>
        <v>546.06164773355658</v>
      </c>
    </row>
    <row r="17" spans="2:15">
      <c r="B17" t="s">
        <v>191</v>
      </c>
      <c r="C17" s="59">
        <v>203.8</v>
      </c>
      <c r="D17" s="59">
        <v>193.4</v>
      </c>
      <c r="G17">
        <f>SUM(D17:F17)</f>
        <v>193.4</v>
      </c>
      <c r="H17">
        <f>Input!H26/365*IS!H9</f>
        <v>182.779742280547</v>
      </c>
      <c r="I17">
        <f>Input!I26/365*IS!I9</f>
        <v>198.46855908717745</v>
      </c>
      <c r="J17">
        <f>Input!J26/365*IS!J9</f>
        <v>224.42408242157575</v>
      </c>
      <c r="K17">
        <f>Input!K26/365*IS!K9</f>
        <v>240.76343206442445</v>
      </c>
      <c r="L17">
        <f>Input!L26/365*IS!L9</f>
        <v>250.39396934700142</v>
      </c>
      <c r="M17">
        <f>Input!M26/365*IS!M9</f>
        <v>260.40972812088154</v>
      </c>
      <c r="N17">
        <f>Input!N26/365*IS!N9</f>
        <v>270.82611724571683</v>
      </c>
      <c r="O17">
        <f>Input!O26/365*IS!O9</f>
        <v>281.65916193554551</v>
      </c>
    </row>
    <row r="18" spans="2:15">
      <c r="B18" t="s">
        <v>192</v>
      </c>
      <c r="C18" s="59">
        <f>69.4+699.2</f>
        <v>768.6</v>
      </c>
      <c r="D18" s="59">
        <f>72.8+677.6</f>
        <v>750.4</v>
      </c>
      <c r="G18">
        <f>SUM(D18:F18)</f>
        <v>750.4</v>
      </c>
      <c r="H18">
        <f>Input!H27*IS!H7</f>
        <v>784.16800000000001</v>
      </c>
      <c r="I18">
        <f>Input!I27*IS!I7</f>
        <v>873.30944295866345</v>
      </c>
      <c r="J18">
        <f>Input!J27*IS!J7</f>
        <v>987.51999464059202</v>
      </c>
      <c r="K18">
        <f>Input!K27*IS!K7</f>
        <v>1032.9316402323716</v>
      </c>
      <c r="L18">
        <f>Input!L27*IS!L7</f>
        <v>1074.2489058416666</v>
      </c>
      <c r="M18">
        <f>Input!M27*IS!M7</f>
        <v>1117.2188620753334</v>
      </c>
      <c r="N18">
        <f>Input!N27*IS!N7</f>
        <v>1161.9076165583467</v>
      </c>
      <c r="O18">
        <f>Input!O27*IS!O7</f>
        <v>1208.3839212206806</v>
      </c>
    </row>
    <row r="19" spans="2:15">
      <c r="B19" t="s">
        <v>193</v>
      </c>
      <c r="C19">
        <f>SUM(C16:C18)</f>
        <v>1037.2</v>
      </c>
      <c r="D19">
        <f>SUM(D16:D18)</f>
        <v>977.2</v>
      </c>
      <c r="G19">
        <f t="shared" ref="G19:O19" si="4">SUM(G16:G18)</f>
        <v>943.8</v>
      </c>
      <c r="H19">
        <f t="shared" ca="1" si="4"/>
        <v>1241.23844522128</v>
      </c>
      <c r="I19">
        <f t="shared" ca="1" si="4"/>
        <v>2021.6088414978108</v>
      </c>
      <c r="J19">
        <f t="shared" ca="1" si="4"/>
        <v>1265.3907750335206</v>
      </c>
      <c r="K19">
        <f t="shared" ca="1" si="4"/>
        <v>1273.6950722967961</v>
      </c>
      <c r="L19">
        <f t="shared" ca="1" si="4"/>
        <v>1324.6428751886679</v>
      </c>
      <c r="M19">
        <f t="shared" ca="1" si="4"/>
        <v>1377.6285901962149</v>
      </c>
      <c r="N19">
        <f t="shared" ca="1" si="4"/>
        <v>1432.7337338040636</v>
      </c>
      <c r="O19">
        <f t="shared" ca="1" si="4"/>
        <v>2036.1047308897828</v>
      </c>
    </row>
    <row r="21" spans="2:15">
      <c r="B21" t="s">
        <v>194</v>
      </c>
      <c r="C21" s="59">
        <v>2593</v>
      </c>
      <c r="D21" s="59">
        <v>2593</v>
      </c>
      <c r="F21">
        <f>-D21</f>
        <v>-2593</v>
      </c>
      <c r="G21">
        <f t="shared" ref="G21:G28" si="5">SUM(D21:F21)</f>
        <v>0</v>
      </c>
      <c r="H21">
        <f>G21</f>
        <v>0</v>
      </c>
      <c r="I21">
        <f t="shared" ref="I21:O21" si="6">H21</f>
        <v>0</v>
      </c>
      <c r="J21">
        <f t="shared" si="6"/>
        <v>0</v>
      </c>
      <c r="K21">
        <f t="shared" si="6"/>
        <v>0</v>
      </c>
      <c r="L21">
        <f t="shared" si="6"/>
        <v>0</v>
      </c>
      <c r="M21">
        <f t="shared" si="6"/>
        <v>0</v>
      </c>
      <c r="N21">
        <f t="shared" si="6"/>
        <v>0</v>
      </c>
      <c r="O21">
        <f t="shared" si="6"/>
        <v>0</v>
      </c>
    </row>
    <row r="22" spans="2:15">
      <c r="B22" s="90" t="s">
        <v>84</v>
      </c>
      <c r="C22" s="59"/>
      <c r="D22" s="59"/>
      <c r="F22">
        <f>LBO!J60*-1</f>
        <v>-185</v>
      </c>
      <c r="G22">
        <f t="shared" si="5"/>
        <v>-185</v>
      </c>
      <c r="H22">
        <f>Calc!H37*-1</f>
        <v>-160.71428571428572</v>
      </c>
      <c r="I22">
        <f>Calc!I37*-1</f>
        <v>-136.42857142857144</v>
      </c>
      <c r="J22">
        <f>Calc!J37*-1</f>
        <v>-112.14285714285715</v>
      </c>
      <c r="K22">
        <f>Calc!K37*-1</f>
        <v>-87.857142857142861</v>
      </c>
      <c r="L22">
        <f>Calc!L37*-1</f>
        <v>-63.571428571428569</v>
      </c>
      <c r="M22">
        <f>Calc!M37*-1</f>
        <v>-39.285714285714285</v>
      </c>
      <c r="N22">
        <f>Calc!N37*-1</f>
        <v>-15</v>
      </c>
      <c r="O22">
        <f>Calc!O37*-1</f>
        <v>-5</v>
      </c>
    </row>
    <row r="23" spans="2:15">
      <c r="B23" t="str">
        <f>LBO!B55</f>
        <v>Term loan B</v>
      </c>
      <c r="C23" s="59"/>
      <c r="D23" s="59"/>
      <c r="F23">
        <f>LBO!C55</f>
        <v>5000</v>
      </c>
      <c r="G23">
        <f t="shared" si="5"/>
        <v>5000</v>
      </c>
      <c r="H23">
        <f ca="1">Debt!H43</f>
        <v>5000</v>
      </c>
      <c r="I23">
        <f ca="1">Debt!I43</f>
        <v>5000</v>
      </c>
      <c r="J23">
        <f ca="1">Debt!J43</f>
        <v>0</v>
      </c>
      <c r="K23">
        <f ca="1">Debt!K43</f>
        <v>0</v>
      </c>
      <c r="L23">
        <f ca="1">Debt!L43</f>
        <v>0</v>
      </c>
      <c r="M23">
        <f ca="1">Debt!M43</f>
        <v>0</v>
      </c>
      <c r="N23">
        <f ca="1">Debt!N43</f>
        <v>0</v>
      </c>
      <c r="O23">
        <f ca="1">Debt!O43</f>
        <v>0</v>
      </c>
    </row>
    <row r="24" spans="2:15">
      <c r="B24" s="90" t="s">
        <v>195</v>
      </c>
      <c r="C24" s="59"/>
      <c r="D24" s="59"/>
      <c r="H24">
        <f ca="1">Debt!H50</f>
        <v>0</v>
      </c>
      <c r="I24">
        <f ca="1">Debt!I50</f>
        <v>0</v>
      </c>
      <c r="J24">
        <f ca="1">Debt!J50</f>
        <v>8000</v>
      </c>
      <c r="K24">
        <f ca="1">Debt!K50</f>
        <v>7412.1608157602568</v>
      </c>
      <c r="L24">
        <f ca="1">Debt!L50</f>
        <v>6586.9856542837124</v>
      </c>
      <c r="M24">
        <f ca="1">Debt!M50</f>
        <v>5663.4994377600779</v>
      </c>
      <c r="N24">
        <f ca="1">Debt!N50</f>
        <v>4665.2916136052363</v>
      </c>
      <c r="O24">
        <f ca="1">Debt!O50</f>
        <v>4665.2916136052363</v>
      </c>
    </row>
    <row r="25" spans="2:15">
      <c r="B25" t="str">
        <f>LBO!B56</f>
        <v>Subordinated debt</v>
      </c>
      <c r="C25" s="59"/>
      <c r="D25" s="59"/>
      <c r="F25">
        <f>LBO!C56</f>
        <v>2000</v>
      </c>
      <c r="G25">
        <f t="shared" si="5"/>
        <v>2000</v>
      </c>
      <c r="H25">
        <f ca="1">Debt!H61</f>
        <v>2000</v>
      </c>
      <c r="I25">
        <f ca="1">Debt!I61</f>
        <v>2000</v>
      </c>
      <c r="J25">
        <f ca="1">Debt!J61</f>
        <v>2000</v>
      </c>
      <c r="K25">
        <f ca="1">Debt!K61</f>
        <v>2000</v>
      </c>
      <c r="L25">
        <f ca="1">Debt!L61</f>
        <v>2000</v>
      </c>
      <c r="M25">
        <f ca="1">Debt!M61</f>
        <v>2000</v>
      </c>
      <c r="N25">
        <f ca="1">Debt!N61</f>
        <v>2000</v>
      </c>
      <c r="O25">
        <f ca="1">Debt!O61</f>
        <v>0</v>
      </c>
    </row>
    <row r="26" spans="2:15">
      <c r="B26" s="80" t="s">
        <v>77</v>
      </c>
      <c r="C26" s="59"/>
      <c r="D26" s="59"/>
      <c r="F26">
        <f>LBO!C57</f>
        <v>1500</v>
      </c>
      <c r="G26" s="80">
        <f t="shared" si="5"/>
        <v>1500</v>
      </c>
      <c r="H26">
        <f>Debt!H71</f>
        <v>1680</v>
      </c>
      <c r="I26">
        <f>Debt!I71</f>
        <v>1881.6</v>
      </c>
      <c r="J26">
        <f>Debt!J71</f>
        <v>2107.3919999999998</v>
      </c>
      <c r="K26">
        <f>Debt!K71</f>
        <v>2360.2790399999999</v>
      </c>
      <c r="L26">
        <f>Debt!L71</f>
        <v>2643.5125247999999</v>
      </c>
      <c r="M26">
        <f>Debt!M71</f>
        <v>2960.7340277759999</v>
      </c>
      <c r="N26">
        <f>Debt!N71</f>
        <v>3316.02211110912</v>
      </c>
      <c r="O26">
        <f>Debt!O71</f>
        <v>3713.9447644422144</v>
      </c>
    </row>
    <row r="27" spans="2:15">
      <c r="B27" t="s">
        <v>78</v>
      </c>
      <c r="C27" s="59"/>
      <c r="D27" s="59"/>
      <c r="F27">
        <f>LBO!C58</f>
        <v>6302.6575080000039</v>
      </c>
      <c r="G27">
        <f t="shared" si="5"/>
        <v>6302.6575080000039</v>
      </c>
      <c r="H27">
        <f>Calc!H15</f>
        <v>7058.9764089600039</v>
      </c>
      <c r="I27">
        <f>Calc!I15</f>
        <v>7906.0535780352047</v>
      </c>
      <c r="J27">
        <f>Calc!J15</f>
        <v>8854.7800073994295</v>
      </c>
      <c r="K27">
        <f>Calc!K15</f>
        <v>9917.3536082873616</v>
      </c>
      <c r="L27">
        <f>Calc!L15</f>
        <v>11107.436041281844</v>
      </c>
      <c r="M27">
        <f>Calc!M15</f>
        <v>12440.328366235666</v>
      </c>
      <c r="N27">
        <f>Calc!N15</f>
        <v>13933.167770183945</v>
      </c>
      <c r="O27">
        <f>Calc!O15</f>
        <v>15605.147902606019</v>
      </c>
    </row>
    <row r="28" spans="2:15">
      <c r="B28" t="s">
        <v>196</v>
      </c>
      <c r="C28" s="59">
        <f>59+24+312+2.8</f>
        <v>397.8</v>
      </c>
      <c r="D28" s="59">
        <f>43+23+330+1.8</f>
        <v>397.8</v>
      </c>
      <c r="G28">
        <f t="shared" si="5"/>
        <v>397.8</v>
      </c>
      <c r="H28">
        <f>Input!H28</f>
        <v>397.8</v>
      </c>
      <c r="I28">
        <f>Input!I28</f>
        <v>397.8</v>
      </c>
      <c r="J28">
        <f>Input!J28</f>
        <v>397.8</v>
      </c>
      <c r="K28">
        <f>Input!K28</f>
        <v>397.8</v>
      </c>
      <c r="L28">
        <f>Input!L28</f>
        <v>397.8</v>
      </c>
      <c r="M28">
        <f>Input!M28</f>
        <v>397.8</v>
      </c>
      <c r="N28">
        <f>Input!N28</f>
        <v>397.8</v>
      </c>
      <c r="O28">
        <f>Input!O28</f>
        <v>397.8</v>
      </c>
    </row>
    <row r="29" spans="2:15">
      <c r="B29" t="s">
        <v>197</v>
      </c>
      <c r="C29">
        <f>SUM(C19,C21:C28)</f>
        <v>4028</v>
      </c>
      <c r="D29">
        <f>SUM(D19,D21:D28)</f>
        <v>3968</v>
      </c>
      <c r="G29">
        <f t="shared" ref="G29:O29" si="7">SUM(G19,G21:G28)</f>
        <v>15959.257508000002</v>
      </c>
      <c r="H29">
        <f t="shared" ca="1" si="7"/>
        <v>17217.300568466999</v>
      </c>
      <c r="I29">
        <f t="shared" ca="1" si="7"/>
        <v>19070.633848104444</v>
      </c>
      <c r="J29">
        <f t="shared" ca="1" si="7"/>
        <v>22513.219925290094</v>
      </c>
      <c r="K29">
        <f t="shared" ca="1" si="7"/>
        <v>23273.43139348727</v>
      </c>
      <c r="L29">
        <f t="shared" ca="1" si="7"/>
        <v>23996.805666982797</v>
      </c>
      <c r="M29">
        <f t="shared" ca="1" si="7"/>
        <v>24800.704707682245</v>
      </c>
      <c r="N29">
        <f t="shared" ca="1" si="7"/>
        <v>25730.015228702363</v>
      </c>
      <c r="O29">
        <f t="shared" ca="1" si="7"/>
        <v>26413.289011543249</v>
      </c>
    </row>
    <row r="31" spans="2:15">
      <c r="B31" t="s">
        <v>119</v>
      </c>
      <c r="C31" s="59">
        <v>5130</v>
      </c>
      <c r="D31" s="59">
        <v>5048</v>
      </c>
      <c r="E31">
        <f>-D31-LBO!C46</f>
        <v>-5413.0521079999999</v>
      </c>
      <c r="F31">
        <f>LBO!C59</f>
        <v>4000</v>
      </c>
      <c r="G31">
        <f>SUM(D31:F31)</f>
        <v>3634.9478920000001</v>
      </c>
      <c r="H31">
        <f ca="1">Calc!H22</f>
        <v>3422.354443808038</v>
      </c>
      <c r="I31">
        <f ca="1">Calc!I22</f>
        <v>3085.7208672441188</v>
      </c>
      <c r="J31">
        <f ca="1">Calc!J22</f>
        <v>-495.26541364537053</v>
      </c>
      <c r="K31">
        <f ca="1">Calc!K22</f>
        <v>-1236.4574018346968</v>
      </c>
      <c r="L31">
        <f ca="1">Calc!L22</f>
        <v>-2030.3482394069563</v>
      </c>
      <c r="M31">
        <f ca="1">Calc!M22</f>
        <v>-2901.9661816305124</v>
      </c>
      <c r="N31">
        <f ca="1">Calc!N22</f>
        <v>-3865.1250336416924</v>
      </c>
      <c r="O31">
        <f ca="1">Calc!O22</f>
        <v>-4904.2652822097662</v>
      </c>
    </row>
    <row r="32" spans="2:15">
      <c r="B32" t="s">
        <v>198</v>
      </c>
      <c r="C32">
        <f>SUM(C29,C31)</f>
        <v>9158</v>
      </c>
      <c r="D32">
        <f>SUM(D29,D31)</f>
        <v>9016</v>
      </c>
      <c r="G32">
        <f>G29+G31</f>
        <v>19594.205400000003</v>
      </c>
      <c r="H32">
        <f ca="1">H29+H31</f>
        <v>20639.655012275038</v>
      </c>
      <c r="I32">
        <f t="shared" ref="I32:O32" ca="1" si="8">I29+I31</f>
        <v>22156.354715348563</v>
      </c>
      <c r="J32">
        <f t="shared" ca="1" si="8"/>
        <v>22017.954511644723</v>
      </c>
      <c r="K32">
        <f t="shared" ca="1" si="8"/>
        <v>22036.973991652572</v>
      </c>
      <c r="L32">
        <f t="shared" ca="1" si="8"/>
        <v>21966.457427575839</v>
      </c>
      <c r="M32">
        <f t="shared" ca="1" si="8"/>
        <v>21898.738526051733</v>
      </c>
      <c r="N32">
        <f t="shared" ca="1" si="8"/>
        <v>21864.890195060671</v>
      </c>
      <c r="O32">
        <f t="shared" ca="1" si="8"/>
        <v>21509.023729333483</v>
      </c>
    </row>
    <row r="34" spans="2:15">
      <c r="B34" t="s">
        <v>199</v>
      </c>
      <c r="C34" s="63" t="str">
        <f>IF(C32=C14,"OK",C14-C32)</f>
        <v>OK</v>
      </c>
      <c r="D34" s="63" t="str">
        <f>IF(D32=D14,"OK",D14-D32)</f>
        <v>OK</v>
      </c>
      <c r="G34" s="63" t="str">
        <f t="shared" ref="G34:O34" si="9">IF(G32=G14,"OK",G14-G32)</f>
        <v>OK</v>
      </c>
      <c r="H34" s="63" t="str">
        <f t="shared" ca="1" si="9"/>
        <v>OK</v>
      </c>
      <c r="I34" s="63" t="str">
        <f t="shared" ca="1" si="9"/>
        <v>OK</v>
      </c>
      <c r="J34" s="63" t="str">
        <f t="shared" ca="1" si="9"/>
        <v>OK</v>
      </c>
      <c r="K34" s="63" t="str">
        <f t="shared" ca="1" si="9"/>
        <v>OK</v>
      </c>
      <c r="L34" s="63" t="str">
        <f t="shared" ca="1" si="9"/>
        <v>OK</v>
      </c>
      <c r="M34" s="63" t="str">
        <f t="shared" ca="1" si="9"/>
        <v>OK</v>
      </c>
      <c r="N34" s="63" t="str">
        <f t="shared" ca="1" si="9"/>
        <v>OK</v>
      </c>
      <c r="O34" s="63" t="str">
        <f t="shared" ca="1" si="9"/>
        <v>OK</v>
      </c>
    </row>
    <row r="39" spans="2:15">
      <c r="G39" s="63"/>
      <c r="H39" s="63"/>
      <c r="I39" s="63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27"/>
  <sheetViews>
    <sheetView workbookViewId="0">
      <selection activeCell="B14" sqref="B14"/>
    </sheetView>
    <sheetView workbookViewId="1"/>
  </sheetViews>
  <sheetFormatPr defaultRowHeight="15"/>
  <cols>
    <col min="1" max="1" width="1.5703125" customWidth="1"/>
    <col min="2" max="2" width="20.5703125" customWidth="1"/>
    <col min="3" max="15" width="11.140625" customWidth="1"/>
  </cols>
  <sheetData>
    <row r="1" spans="1:15" ht="28.5">
      <c r="A1" s="5" t="str">
        <f>Title</f>
        <v>Hologic LBO</v>
      </c>
      <c r="B1" s="10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</row>
    <row r="2" spans="1:15" ht="21">
      <c r="A2" s="14" t="s">
        <v>26</v>
      </c>
      <c r="B2" s="7"/>
      <c r="C2" s="11" t="s">
        <v>27</v>
      </c>
      <c r="D2" s="11" t="s">
        <v>27</v>
      </c>
      <c r="E2" s="11"/>
      <c r="F2" s="11"/>
      <c r="G2" s="11"/>
      <c r="H2" s="11" t="s">
        <v>28</v>
      </c>
      <c r="I2" s="11" t="s">
        <v>28</v>
      </c>
      <c r="J2" s="11" t="s">
        <v>28</v>
      </c>
      <c r="K2" s="11" t="s">
        <v>28</v>
      </c>
      <c r="L2" s="11" t="s">
        <v>28</v>
      </c>
      <c r="M2" s="11" t="s">
        <v>28</v>
      </c>
      <c r="N2" s="11" t="s">
        <v>28</v>
      </c>
      <c r="O2" s="11" t="s">
        <v>28</v>
      </c>
    </row>
    <row r="3" spans="1:15" ht="21">
      <c r="A3" s="14" t="e" cm="1">
        <f t="array" aca="1" ref="A3" ca="1">MID(CELL("filename",A3),FIND("]",CELL("filename",A3))+1,255)</f>
        <v>#VALUE!</v>
      </c>
      <c r="B3" s="7"/>
      <c r="C3" s="11">
        <f>EDATE(D3,-12)</f>
        <v>45565</v>
      </c>
      <c r="D3" s="11">
        <f>target_yrend</f>
        <v>45930</v>
      </c>
      <c r="E3" s="11" t="s">
        <v>29</v>
      </c>
      <c r="F3" s="11" t="s">
        <v>30</v>
      </c>
      <c r="G3" s="11" t="s">
        <v>31</v>
      </c>
      <c r="H3" s="11">
        <f>EDATE(D3,12)</f>
        <v>46295</v>
      </c>
      <c r="I3" s="11">
        <f t="shared" ref="I3:O3" si="0">EDATE(H3,12)</f>
        <v>46660</v>
      </c>
      <c r="J3" s="11">
        <f t="shared" si="0"/>
        <v>47026</v>
      </c>
      <c r="K3" s="11">
        <f t="shared" si="0"/>
        <v>47391</v>
      </c>
      <c r="L3" s="11">
        <f t="shared" si="0"/>
        <v>47756</v>
      </c>
      <c r="M3" s="11">
        <f t="shared" si="0"/>
        <v>48121</v>
      </c>
      <c r="N3" s="11">
        <f t="shared" si="0"/>
        <v>48487</v>
      </c>
      <c r="O3" s="11">
        <f t="shared" si="0"/>
        <v>48852</v>
      </c>
    </row>
    <row r="5" spans="1:15">
      <c r="B5" t="s">
        <v>200</v>
      </c>
      <c r="H5">
        <f>IS!H23</f>
        <v>1500.1218625000001</v>
      </c>
      <c r="I5">
        <f>IS!I23</f>
        <v>1689.1045861999996</v>
      </c>
      <c r="J5">
        <f>IS!J23</f>
        <v>1867.2284904447502</v>
      </c>
      <c r="K5">
        <f>IS!K23</f>
        <v>1842.2773495920517</v>
      </c>
      <c r="L5">
        <f>IS!L23</f>
        <v>1865.9268489467081</v>
      </c>
      <c r="M5">
        <f>IS!M23</f>
        <v>1880.5188773624861</v>
      </c>
      <c r="N5">
        <f>IS!N23</f>
        <v>1905.0657426570494</v>
      </c>
      <c r="O5">
        <f>IS!O23</f>
        <v>1938.3725418293843</v>
      </c>
    </row>
    <row r="6" spans="1:15">
      <c r="B6" t="s">
        <v>201</v>
      </c>
      <c r="H6">
        <f ca="1">Debt!H75</f>
        <v>-513.39015714263314</v>
      </c>
      <c r="I6">
        <f ca="1">Debt!I75</f>
        <v>-543.80940568400001</v>
      </c>
      <c r="J6">
        <f ca="1">Debt!J75</f>
        <v>-646.85281952746459</v>
      </c>
      <c r="K6">
        <f ca="1">Debt!K75</f>
        <v>-705.85919953770667</v>
      </c>
      <c r="L6">
        <f ca="1">Debt!L75</f>
        <v>-654.72012645153893</v>
      </c>
      <c r="M6">
        <f ca="1">Debt!M75</f>
        <v>-593.51697822153267</v>
      </c>
      <c r="N6">
        <f ca="1">Debt!N75</f>
        <v>-526.25768679778605</v>
      </c>
      <c r="O6">
        <f ca="1">Debt!O75</f>
        <v>-428.02135485597358</v>
      </c>
    </row>
    <row r="7" spans="1:15">
      <c r="B7" t="s">
        <v>202</v>
      </c>
      <c r="H7">
        <f ca="1">IS!H17</f>
        <v>-127.540538303614</v>
      </c>
      <c r="I7">
        <f ca="1">IS!I17</f>
        <v>-119.7336821940042</v>
      </c>
      <c r="J7">
        <f ca="1">IS!J17</f>
        <v>-80.723447226161326</v>
      </c>
      <c r="K7">
        <f ca="1">IS!K17</f>
        <v>-75.385810386092544</v>
      </c>
      <c r="L7">
        <f ca="1">IS!L17</f>
        <v>-92.933831024966068</v>
      </c>
      <c r="M7">
        <f ca="1">IS!M17</f>
        <v>-108.20016385030918</v>
      </c>
      <c r="N7">
        <f ca="1">IS!N17</f>
        <v>-124.24605539265316</v>
      </c>
      <c r="O7">
        <f ca="1">IS!O17</f>
        <v>-148.44392337316049</v>
      </c>
    </row>
    <row r="8" spans="1:15">
      <c r="B8" t="s">
        <v>203</v>
      </c>
      <c r="H8">
        <f>BS!G12-BS!H12</f>
        <v>0</v>
      </c>
      <c r="I8">
        <f>BS!H12-BS!I12</f>
        <v>0</v>
      </c>
      <c r="J8">
        <f>BS!I12-BS!J12</f>
        <v>0</v>
      </c>
      <c r="K8">
        <f>BS!J12-BS!K12</f>
        <v>0</v>
      </c>
      <c r="L8">
        <f>BS!K12-BS!L12</f>
        <v>0</v>
      </c>
      <c r="M8">
        <f>BS!L12-BS!M12</f>
        <v>0</v>
      </c>
      <c r="N8">
        <f>BS!M12-BS!N12</f>
        <v>0</v>
      </c>
      <c r="O8">
        <f>BS!N12-BS!O12</f>
        <v>0</v>
      </c>
    </row>
    <row r="9" spans="1:15">
      <c r="B9" t="s">
        <v>204</v>
      </c>
      <c r="H9">
        <f>BS!H28-BS!G28</f>
        <v>0</v>
      </c>
      <c r="I9">
        <f>BS!I28-BS!H28</f>
        <v>0</v>
      </c>
      <c r="J9">
        <f>BS!J28-BS!I28</f>
        <v>0</v>
      </c>
      <c r="K9">
        <f>BS!K28-BS!J28</f>
        <v>0</v>
      </c>
      <c r="L9">
        <f>BS!L28-BS!K28</f>
        <v>0</v>
      </c>
      <c r="M9">
        <f>BS!M28-BS!L28</f>
        <v>0</v>
      </c>
      <c r="N9">
        <f>BS!N28-BS!M28</f>
        <v>0</v>
      </c>
      <c r="O9">
        <f>BS!O28-BS!N28</f>
        <v>0</v>
      </c>
    </row>
    <row r="10" spans="1:15">
      <c r="B10" t="s">
        <v>205</v>
      </c>
      <c r="H10">
        <f>Calc!G30-Calc!H30</f>
        <v>25.063962505514041</v>
      </c>
      <c r="I10">
        <f>Calc!H30-Calc!I30</f>
        <v>-43.621387980732493</v>
      </c>
      <c r="J10">
        <f>Calc!I30-Calc!J30</f>
        <v>-70.588946260667171</v>
      </c>
      <c r="K10">
        <f>Calc!J30-Calc!K30</f>
        <v>-43.180182507043355</v>
      </c>
      <c r="L10">
        <f>Calc!K30-Calc!L30</f>
        <v>-26.141062169717088</v>
      </c>
      <c r="M10">
        <f>Calc!L30-Calc!M30</f>
        <v>-27.186704656505526</v>
      </c>
      <c r="N10">
        <f>Calc!M30-Calc!N30</f>
        <v>-28.274172842766347</v>
      </c>
      <c r="O10">
        <f>Calc!N30-Calc!O30</f>
        <v>-29.405139756476501</v>
      </c>
    </row>
    <row r="11" spans="1:15">
      <c r="B11" t="s">
        <v>206</v>
      </c>
      <c r="H11">
        <f t="shared" ref="H11:O11" ca="1" si="1">SUM(H5:H10)</f>
        <v>884.25512955926706</v>
      </c>
      <c r="I11">
        <f t="shared" ca="1" si="1"/>
        <v>981.94011034126299</v>
      </c>
      <c r="J11">
        <f t="shared" ca="1" si="1"/>
        <v>1069.063277430457</v>
      </c>
      <c r="K11">
        <f t="shared" ca="1" si="1"/>
        <v>1017.8521571612091</v>
      </c>
      <c r="L11">
        <f t="shared" ca="1" si="1"/>
        <v>1092.1318293004861</v>
      </c>
      <c r="M11">
        <f t="shared" ca="1" si="1"/>
        <v>1151.6150306341387</v>
      </c>
      <c r="N11">
        <f t="shared" ca="1" si="1"/>
        <v>1226.2878276238437</v>
      </c>
      <c r="O11">
        <f t="shared" ca="1" si="1"/>
        <v>1332.5021238437737</v>
      </c>
    </row>
    <row r="13" spans="1:15">
      <c r="B13" t="s">
        <v>207</v>
      </c>
      <c r="H13">
        <f>-Calc!H7</f>
        <v>-158.54583249999999</v>
      </c>
      <c r="I13">
        <f>-Calc!I7</f>
        <v>-157.48024685249999</v>
      </c>
      <c r="J13">
        <f>-Calc!J7</f>
        <v>-172.67913594983997</v>
      </c>
      <c r="K13">
        <f>-Calc!K7</f>
        <v>-180.61988020353263</v>
      </c>
      <c r="L13">
        <f>-Calc!L7</f>
        <v>-187.84467541167393</v>
      </c>
      <c r="M13">
        <f>-Calc!M7</f>
        <v>-195.35846242814091</v>
      </c>
      <c r="N13">
        <f>-Calc!N7</f>
        <v>-203.17280092526659</v>
      </c>
      <c r="O13">
        <f>-Calc!O7</f>
        <v>-211.29971296227723</v>
      </c>
    </row>
    <row r="14" spans="1:15">
      <c r="B14" s="90" t="s">
        <v>157</v>
      </c>
      <c r="H14" s="90">
        <f>LBO!H8*-1</f>
        <v>-1000</v>
      </c>
      <c r="I14" s="90">
        <f>LBO!I8*-1</f>
        <v>-1500</v>
      </c>
      <c r="J14" s="90">
        <f>LBO!J8*-1</f>
        <v>0</v>
      </c>
      <c r="K14" s="90">
        <f>LBO!K8*-1</f>
        <v>0</v>
      </c>
      <c r="L14" s="90">
        <f>LBO!L8*-1</f>
        <v>0</v>
      </c>
      <c r="M14" s="90">
        <f>LBO!M8*-1</f>
        <v>0</v>
      </c>
      <c r="N14" s="90">
        <f>LBO!N8*-1</f>
        <v>0</v>
      </c>
      <c r="O14" s="90">
        <f>LBO!O8*-1</f>
        <v>0</v>
      </c>
    </row>
    <row r="15" spans="1:15">
      <c r="B15" t="s">
        <v>208</v>
      </c>
      <c r="H15">
        <f>SUM(H13:H14)</f>
        <v>-1158.5458325</v>
      </c>
      <c r="I15">
        <f t="shared" ref="I15:O15" si="2">SUM(I13:I14)</f>
        <v>-1657.4802468524999</v>
      </c>
      <c r="J15">
        <f t="shared" si="2"/>
        <v>-172.67913594983997</v>
      </c>
      <c r="K15">
        <f t="shared" si="2"/>
        <v>-180.61988020353263</v>
      </c>
      <c r="L15">
        <f t="shared" si="2"/>
        <v>-187.84467541167393</v>
      </c>
      <c r="M15">
        <f t="shared" si="2"/>
        <v>-195.35846242814091</v>
      </c>
      <c r="N15">
        <f t="shared" si="2"/>
        <v>-203.17280092526659</v>
      </c>
      <c r="O15">
        <f t="shared" si="2"/>
        <v>-211.29971296227723</v>
      </c>
    </row>
    <row r="17" spans="2:15">
      <c r="B17" t="s">
        <v>209</v>
      </c>
      <c r="H17">
        <f ca="1">BS!H16-BS!G16</f>
        <v>274.2907029407329</v>
      </c>
      <c r="I17">
        <f ca="1">BS!I16-BS!H16</f>
        <v>675.54013651123694</v>
      </c>
      <c r="J17">
        <f ca="1">BS!J16-BS!I16</f>
        <v>-896.38414148061702</v>
      </c>
      <c r="K17">
        <f ca="1">BS!K16-BS!J16</f>
        <v>-53.446697971352819</v>
      </c>
      <c r="L17">
        <f ca="1">BS!L16-BS!K16</f>
        <v>0</v>
      </c>
      <c r="M17">
        <f ca="1">BS!M16-BS!L16</f>
        <v>0</v>
      </c>
      <c r="N17">
        <f ca="1">BS!N16-BS!M16</f>
        <v>0</v>
      </c>
      <c r="O17">
        <f ca="1">BS!O16-BS!N16</f>
        <v>546.06164773355658</v>
      </c>
    </row>
    <row r="18" spans="2:15">
      <c r="B18" t="s">
        <v>210</v>
      </c>
      <c r="H18">
        <f>BS!H21-BS!G21</f>
        <v>0</v>
      </c>
      <c r="I18">
        <f>BS!I21-BS!H21</f>
        <v>0</v>
      </c>
      <c r="J18">
        <f>BS!J21-BS!I21</f>
        <v>0</v>
      </c>
      <c r="K18">
        <f>BS!K21-BS!J21</f>
        <v>0</v>
      </c>
      <c r="L18">
        <f>BS!L21-BS!K21</f>
        <v>0</v>
      </c>
      <c r="M18">
        <f>BS!M21-BS!L21</f>
        <v>0</v>
      </c>
      <c r="N18">
        <f>BS!N21-BS!M21</f>
        <v>0</v>
      </c>
      <c r="O18">
        <f>BS!O21-BS!N21</f>
        <v>0</v>
      </c>
    </row>
    <row r="19" spans="2:15">
      <c r="B19" t="str">
        <f>"Inc (dec) in "&amp;BS!B23</f>
        <v>Inc (dec) in Term loan B</v>
      </c>
      <c r="H19">
        <f ca="1">BS!H23-BS!G23</f>
        <v>0</v>
      </c>
      <c r="I19">
        <f ca="1">BS!I23-BS!H23</f>
        <v>0</v>
      </c>
      <c r="J19">
        <f ca="1">BS!J23-BS!I23</f>
        <v>-5000</v>
      </c>
      <c r="K19">
        <f ca="1">BS!K23-BS!J23</f>
        <v>0</v>
      </c>
      <c r="L19">
        <f ca="1">BS!L23-BS!K23</f>
        <v>0</v>
      </c>
      <c r="M19">
        <f ca="1">BS!M23-BS!L23</f>
        <v>0</v>
      </c>
      <c r="N19">
        <f ca="1">BS!N23-BS!M23</f>
        <v>0</v>
      </c>
      <c r="O19">
        <f ca="1">BS!O23-BS!N23</f>
        <v>0</v>
      </c>
    </row>
    <row r="20" spans="2:15">
      <c r="B20" s="90" t="s">
        <v>211</v>
      </c>
      <c r="H20">
        <f ca="1">Debt!H50-Debt!G50</f>
        <v>0</v>
      </c>
      <c r="I20">
        <f ca="1">Debt!I50-Debt!H50</f>
        <v>0</v>
      </c>
      <c r="J20">
        <f ca="1">Debt!J50-Debt!I50</f>
        <v>8000</v>
      </c>
      <c r="K20">
        <f ca="1">Debt!K50-Debt!J50</f>
        <v>-587.83918423974319</v>
      </c>
      <c r="L20">
        <f ca="1">Debt!L50-Debt!K50</f>
        <v>-825.17516147654442</v>
      </c>
      <c r="M20">
        <f ca="1">Debt!M50-Debt!L50</f>
        <v>-923.48621652363454</v>
      </c>
      <c r="N20">
        <f ca="1">Debt!N50-Debt!M50</f>
        <v>-998.20782415484155</v>
      </c>
      <c r="O20">
        <f ca="1">Debt!O50-Debt!N50</f>
        <v>0</v>
      </c>
    </row>
    <row r="21" spans="2:15">
      <c r="B21" s="90" t="s">
        <v>118</v>
      </c>
      <c r="H21">
        <f>Debt!H53</f>
        <v>0</v>
      </c>
      <c r="I21">
        <f>Debt!I53</f>
        <v>0</v>
      </c>
      <c r="J21">
        <f ca="1">Debt!J53</f>
        <v>-3000</v>
      </c>
      <c r="K21">
        <f>Debt!K53</f>
        <v>0</v>
      </c>
      <c r="L21">
        <f>Debt!L53</f>
        <v>0</v>
      </c>
      <c r="M21">
        <f>Debt!M53</f>
        <v>0</v>
      </c>
      <c r="N21">
        <f>Debt!N53</f>
        <v>0</v>
      </c>
      <c r="O21">
        <f>Debt!O53</f>
        <v>0</v>
      </c>
    </row>
    <row r="22" spans="2:15">
      <c r="B22" t="str">
        <f>"Inc (dec) in "&amp;BS!B25</f>
        <v>Inc (dec) in Subordinated debt</v>
      </c>
      <c r="H22">
        <f ca="1">BS!H25-BS!G25</f>
        <v>0</v>
      </c>
      <c r="I22">
        <f ca="1">BS!I25-BS!H25</f>
        <v>0</v>
      </c>
      <c r="J22">
        <f ca="1">BS!J25-BS!I25</f>
        <v>0</v>
      </c>
      <c r="K22">
        <f ca="1">BS!K25-BS!J25</f>
        <v>0</v>
      </c>
      <c r="L22">
        <f ca="1">BS!L25-BS!K25</f>
        <v>0</v>
      </c>
      <c r="M22">
        <f ca="1">BS!M25-BS!L25</f>
        <v>0</v>
      </c>
      <c r="N22">
        <f ca="1">BS!N25-BS!M25</f>
        <v>0</v>
      </c>
      <c r="O22">
        <f ca="1">BS!O25-BS!N25</f>
        <v>-2000</v>
      </c>
    </row>
    <row r="23" spans="2:15">
      <c r="B23" t="s">
        <v>212</v>
      </c>
      <c r="H23">
        <f t="shared" ref="H23:O23" ca="1" si="3">SUM(H17:H22)</f>
        <v>274.2907029407329</v>
      </c>
      <c r="I23">
        <f t="shared" ca="1" si="3"/>
        <v>675.54013651123694</v>
      </c>
      <c r="J23">
        <f t="shared" ca="1" si="3"/>
        <v>-896.38414148061747</v>
      </c>
      <c r="K23">
        <f t="shared" ca="1" si="3"/>
        <v>-641.28588221109601</v>
      </c>
      <c r="L23">
        <f t="shared" ca="1" si="3"/>
        <v>-825.17516147654442</v>
      </c>
      <c r="M23">
        <f t="shared" ca="1" si="3"/>
        <v>-923.48621652363454</v>
      </c>
      <c r="N23">
        <f t="shared" ca="1" si="3"/>
        <v>-998.20782415484155</v>
      </c>
      <c r="O23">
        <f t="shared" ca="1" si="3"/>
        <v>-1453.9383522664434</v>
      </c>
    </row>
    <row r="25" spans="2:15">
      <c r="B25" t="s">
        <v>213</v>
      </c>
      <c r="H25">
        <f>G27</f>
        <v>0</v>
      </c>
      <c r="I25">
        <f t="shared" ref="I25:O25" ca="1" si="4">H27</f>
        <v>0</v>
      </c>
      <c r="J25">
        <f t="shared" ca="1" si="4"/>
        <v>0</v>
      </c>
      <c r="K25">
        <f t="shared" ca="1" si="4"/>
        <v>0</v>
      </c>
      <c r="L25">
        <f t="shared" ca="1" si="4"/>
        <v>195.94639474658049</v>
      </c>
      <c r="M25">
        <f t="shared" ca="1" si="4"/>
        <v>275.05838715884818</v>
      </c>
      <c r="N25">
        <f t="shared" ca="1" si="4"/>
        <v>307.82873884121148</v>
      </c>
      <c r="O25">
        <f t="shared" ca="1" si="4"/>
        <v>332.73594138494707</v>
      </c>
    </row>
    <row r="26" spans="2:15">
      <c r="B26" t="s">
        <v>214</v>
      </c>
      <c r="H26">
        <f t="shared" ref="H26:O26" ca="1" si="5">H11+H15+H23</f>
        <v>0</v>
      </c>
      <c r="I26">
        <f t="shared" ca="1" si="5"/>
        <v>0</v>
      </c>
      <c r="J26">
        <f t="shared" ca="1" si="5"/>
        <v>0</v>
      </c>
      <c r="K26">
        <f t="shared" ca="1" si="5"/>
        <v>195.94639474658049</v>
      </c>
      <c r="L26">
        <f t="shared" ca="1" si="5"/>
        <v>79.111992412267682</v>
      </c>
      <c r="M26">
        <f t="shared" ca="1" si="5"/>
        <v>32.770351682363298</v>
      </c>
      <c r="N26">
        <f t="shared" ca="1" si="5"/>
        <v>24.907202543735593</v>
      </c>
      <c r="O26">
        <f t="shared" ca="1" si="5"/>
        <v>-332.73594138494695</v>
      </c>
    </row>
    <row r="27" spans="2:15">
      <c r="B27" t="s">
        <v>215</v>
      </c>
      <c r="G27">
        <f>BS!G5</f>
        <v>0</v>
      </c>
      <c r="H27">
        <f ca="1">SUM(H25:H26)</f>
        <v>0</v>
      </c>
      <c r="I27">
        <f t="shared" ref="I27:O27" ca="1" si="6">SUM(I25:I26)</f>
        <v>0</v>
      </c>
      <c r="J27">
        <f t="shared" ca="1" si="6"/>
        <v>0</v>
      </c>
      <c r="K27">
        <f t="shared" ca="1" si="6"/>
        <v>195.94639474658049</v>
      </c>
      <c r="L27">
        <f t="shared" ca="1" si="6"/>
        <v>275.05838715884818</v>
      </c>
      <c r="M27">
        <f t="shared" ca="1" si="6"/>
        <v>307.82873884121148</v>
      </c>
      <c r="N27">
        <f t="shared" ca="1" si="6"/>
        <v>332.73594138494707</v>
      </c>
      <c r="O27">
        <f t="shared" ca="1" si="6"/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O87"/>
  <sheetViews>
    <sheetView workbookViewId="0">
      <selection activeCell="G47" sqref="G47"/>
    </sheetView>
    <sheetView topLeftCell="A20" workbookViewId="1"/>
  </sheetViews>
  <sheetFormatPr defaultRowHeight="15"/>
  <cols>
    <col min="1" max="1" width="1.5703125" customWidth="1"/>
    <col min="2" max="2" width="20.5703125" customWidth="1"/>
    <col min="3" max="15" width="11.140625" customWidth="1"/>
  </cols>
  <sheetData>
    <row r="1" spans="1:15" ht="28.5">
      <c r="A1" s="5" t="str">
        <f>Title</f>
        <v>Hologic LBO</v>
      </c>
      <c r="B1" s="10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</row>
    <row r="2" spans="1:15" ht="21">
      <c r="A2" s="14" t="s">
        <v>26</v>
      </c>
      <c r="B2" s="7"/>
      <c r="C2" s="11" t="s">
        <v>27</v>
      </c>
      <c r="D2" s="11" t="s">
        <v>27</v>
      </c>
      <c r="E2" s="11"/>
      <c r="F2" s="11"/>
      <c r="G2" s="11"/>
      <c r="H2" s="11" t="s">
        <v>28</v>
      </c>
      <c r="I2" s="11" t="s">
        <v>28</v>
      </c>
      <c r="J2" s="11" t="s">
        <v>28</v>
      </c>
      <c r="K2" s="11" t="s">
        <v>28</v>
      </c>
      <c r="L2" s="11" t="s">
        <v>28</v>
      </c>
      <c r="M2" s="11" t="s">
        <v>28</v>
      </c>
      <c r="N2" s="11" t="s">
        <v>28</v>
      </c>
      <c r="O2" s="11" t="s">
        <v>28</v>
      </c>
    </row>
    <row r="3" spans="1:15" ht="21">
      <c r="A3" s="14" t="e" cm="1">
        <f t="array" aca="1" ref="A3" ca="1">MID(CELL("filename",A3),FIND("]",CELL("filename",A3))+1,255)</f>
        <v>#VALUE!</v>
      </c>
      <c r="B3" s="7"/>
      <c r="C3" s="11">
        <f>EDATE(D3,-12)</f>
        <v>45565</v>
      </c>
      <c r="D3" s="11">
        <f>target_yrend</f>
        <v>45930</v>
      </c>
      <c r="E3" s="11" t="s">
        <v>29</v>
      </c>
      <c r="F3" s="11" t="s">
        <v>30</v>
      </c>
      <c r="G3" s="11" t="s">
        <v>31</v>
      </c>
      <c r="H3" s="11">
        <f>EDATE(D3,12)</f>
        <v>46295</v>
      </c>
      <c r="I3" s="11">
        <f t="shared" ref="I3:O3" si="0">EDATE(H3,12)</f>
        <v>46660</v>
      </c>
      <c r="J3" s="11">
        <f t="shared" si="0"/>
        <v>47026</v>
      </c>
      <c r="K3" s="11">
        <f t="shared" si="0"/>
        <v>47391</v>
      </c>
      <c r="L3" s="11">
        <f t="shared" si="0"/>
        <v>47756</v>
      </c>
      <c r="M3" s="11">
        <f t="shared" si="0"/>
        <v>48121</v>
      </c>
      <c r="N3" s="11">
        <f t="shared" si="0"/>
        <v>48487</v>
      </c>
      <c r="O3" s="11">
        <f t="shared" si="0"/>
        <v>48852</v>
      </c>
    </row>
    <row r="5" spans="1:15">
      <c r="A5" s="60" t="s">
        <v>216</v>
      </c>
    </row>
    <row r="6" spans="1:15">
      <c r="B6" t="str">
        <f>BS!B23</f>
        <v>Term loan B</v>
      </c>
      <c r="H6" s="70">
        <v>0</v>
      </c>
      <c r="I6" s="70">
        <v>0</v>
      </c>
      <c r="J6" s="70">
        <v>0</v>
      </c>
      <c r="K6" s="70">
        <v>0</v>
      </c>
      <c r="L6" s="70">
        <v>0</v>
      </c>
      <c r="M6" s="70">
        <v>0</v>
      </c>
      <c r="N6" s="70">
        <v>1</v>
      </c>
      <c r="O6" s="70">
        <v>0</v>
      </c>
    </row>
    <row r="7" spans="1:15">
      <c r="B7" t="str">
        <f>BS!B25</f>
        <v>Subordinated debt</v>
      </c>
      <c r="H7" s="70">
        <v>0</v>
      </c>
      <c r="I7" s="70">
        <v>0</v>
      </c>
      <c r="J7" s="70">
        <v>0</v>
      </c>
      <c r="K7" s="70">
        <v>0</v>
      </c>
      <c r="L7" s="70">
        <v>0</v>
      </c>
      <c r="M7" s="70">
        <v>0</v>
      </c>
      <c r="N7" s="70">
        <v>0</v>
      </c>
      <c r="O7" s="70">
        <v>1</v>
      </c>
    </row>
    <row r="9" spans="1:15">
      <c r="A9" s="60" t="s">
        <v>217</v>
      </c>
    </row>
    <row r="10" spans="1:15">
      <c r="B10" t="s">
        <v>218</v>
      </c>
      <c r="H10">
        <f>BS!G5</f>
        <v>0</v>
      </c>
      <c r="I10">
        <f ca="1">BS!H5</f>
        <v>0</v>
      </c>
      <c r="J10">
        <f ca="1">BS!I5</f>
        <v>0</v>
      </c>
      <c r="K10">
        <f ca="1">BS!J5</f>
        <v>0</v>
      </c>
      <c r="L10">
        <f ca="1">BS!K5</f>
        <v>195.94639474658049</v>
      </c>
      <c r="M10">
        <f ca="1">BS!L5</f>
        <v>275.05838715884818</v>
      </c>
      <c r="N10">
        <f ca="1">BS!M5</f>
        <v>307.82873884121148</v>
      </c>
      <c r="O10">
        <f ca="1">BS!N5</f>
        <v>332.73594138494707</v>
      </c>
    </row>
    <row r="11" spans="1:15">
      <c r="B11" t="s">
        <v>219</v>
      </c>
      <c r="H11">
        <f ca="1">CFS!H11</f>
        <v>884.25512955926706</v>
      </c>
      <c r="I11">
        <f ca="1">CFS!I11</f>
        <v>981.94011034126299</v>
      </c>
      <c r="J11">
        <f ca="1">CFS!J11</f>
        <v>1069.063277430457</v>
      </c>
      <c r="K11">
        <f ca="1">CFS!K11</f>
        <v>1017.8521571612091</v>
      </c>
      <c r="L11">
        <f ca="1">CFS!L11</f>
        <v>1092.1318293004861</v>
      </c>
      <c r="M11">
        <f ca="1">CFS!M11</f>
        <v>1151.6150306341387</v>
      </c>
      <c r="N11">
        <f ca="1">CFS!N11</f>
        <v>1226.2878276238437</v>
      </c>
      <c r="O11">
        <f ca="1">CFS!O11</f>
        <v>1332.5021238437737</v>
      </c>
    </row>
    <row r="12" spans="1:15">
      <c r="B12" t="s">
        <v>220</v>
      </c>
      <c r="H12">
        <f>CFS!H15</f>
        <v>-1158.5458325</v>
      </c>
      <c r="I12">
        <f>CFS!I15</f>
        <v>-1657.4802468524999</v>
      </c>
      <c r="J12">
        <f>CFS!J15</f>
        <v>-172.67913594983997</v>
      </c>
      <c r="K12">
        <f>CFS!K15</f>
        <v>-180.61988020353263</v>
      </c>
      <c r="L12">
        <f>CFS!L15</f>
        <v>-187.84467541167393</v>
      </c>
      <c r="M12">
        <f>CFS!M15</f>
        <v>-195.35846242814091</v>
      </c>
      <c r="N12">
        <f>CFS!N15</f>
        <v>-203.17280092526659</v>
      </c>
      <c r="O12">
        <f>CFS!O15</f>
        <v>-211.29971296227723</v>
      </c>
    </row>
    <row r="13" spans="1:15">
      <c r="B13" t="s">
        <v>221</v>
      </c>
      <c r="H13">
        <f ca="1">SUM(H10:H12)</f>
        <v>-274.2907029407329</v>
      </c>
      <c r="I13">
        <f t="shared" ref="I13:O13" ca="1" si="1">SUM(I10:I12)</f>
        <v>-675.54013651123694</v>
      </c>
      <c r="J13">
        <f t="shared" ca="1" si="1"/>
        <v>896.38414148061702</v>
      </c>
      <c r="K13">
        <f t="shared" ca="1" si="1"/>
        <v>837.2322769576765</v>
      </c>
      <c r="L13">
        <f t="shared" ca="1" si="1"/>
        <v>1100.2335486353927</v>
      </c>
      <c r="M13">
        <f t="shared" ca="1" si="1"/>
        <v>1231.3149553648461</v>
      </c>
      <c r="N13">
        <f t="shared" ca="1" si="1"/>
        <v>1330.9437655397887</v>
      </c>
      <c r="O13">
        <f t="shared" ca="1" si="1"/>
        <v>1453.9383522664434</v>
      </c>
    </row>
    <row r="15" spans="1:15">
      <c r="B15" t="s">
        <v>222</v>
      </c>
    </row>
    <row r="16" spans="1:15">
      <c r="B16" t="str">
        <f>B6</f>
        <v>Term loan B</v>
      </c>
      <c r="H16">
        <f>H41</f>
        <v>0</v>
      </c>
      <c r="I16">
        <f t="shared" ref="I16:O16" ca="1" si="2">I41</f>
        <v>0</v>
      </c>
      <c r="J16">
        <f t="shared" ca="1" si="2"/>
        <v>0</v>
      </c>
      <c r="K16">
        <f t="shared" ca="1" si="2"/>
        <v>0</v>
      </c>
      <c r="L16">
        <f t="shared" ca="1" si="2"/>
        <v>0</v>
      </c>
      <c r="M16">
        <f t="shared" ca="1" si="2"/>
        <v>0</v>
      </c>
      <c r="N16">
        <f t="shared" ca="1" si="2"/>
        <v>0</v>
      </c>
      <c r="O16">
        <f t="shared" ca="1" si="2"/>
        <v>0</v>
      </c>
    </row>
    <row r="17" spans="2:15">
      <c r="B17" t="str">
        <f>B7</f>
        <v>Subordinated debt</v>
      </c>
      <c r="H17">
        <f>H59</f>
        <v>0</v>
      </c>
      <c r="I17">
        <f t="shared" ref="I17:O17" ca="1" si="3">I59</f>
        <v>0</v>
      </c>
      <c r="J17">
        <f t="shared" ca="1" si="3"/>
        <v>0</v>
      </c>
      <c r="K17">
        <f t="shared" ca="1" si="3"/>
        <v>0</v>
      </c>
      <c r="L17">
        <f t="shared" ca="1" si="3"/>
        <v>0</v>
      </c>
      <c r="M17">
        <f t="shared" ca="1" si="3"/>
        <v>0</v>
      </c>
      <c r="N17">
        <f t="shared" ca="1" si="3"/>
        <v>0</v>
      </c>
      <c r="O17">
        <f t="shared" ca="1" si="3"/>
        <v>-2000</v>
      </c>
    </row>
    <row r="18" spans="2:15">
      <c r="B18" t="s">
        <v>223</v>
      </c>
      <c r="H18">
        <f t="shared" ref="H18:O18" ca="1" si="4">SUM(H13,H16:H17)</f>
        <v>-274.2907029407329</v>
      </c>
      <c r="I18">
        <f t="shared" ca="1" si="4"/>
        <v>-675.54013651123694</v>
      </c>
      <c r="J18">
        <f t="shared" ca="1" si="4"/>
        <v>896.38414148061702</v>
      </c>
      <c r="K18">
        <f t="shared" ca="1" si="4"/>
        <v>837.2322769576765</v>
      </c>
      <c r="L18">
        <f t="shared" ca="1" si="4"/>
        <v>1100.2335486353927</v>
      </c>
      <c r="M18">
        <f t="shared" ca="1" si="4"/>
        <v>1231.3149553648461</v>
      </c>
      <c r="N18">
        <f t="shared" ca="1" si="4"/>
        <v>1330.9437655397887</v>
      </c>
      <c r="O18">
        <f t="shared" ca="1" si="4"/>
        <v>-546.06164773355658</v>
      </c>
    </row>
    <row r="20" spans="2:15">
      <c r="B20" s="60" t="s">
        <v>74</v>
      </c>
    </row>
    <row r="21" spans="2:15">
      <c r="B21" t="s">
        <v>156</v>
      </c>
      <c r="H21">
        <f>G23</f>
        <v>0</v>
      </c>
      <c r="I21">
        <f t="shared" ref="I21:O21" ca="1" si="5">H23</f>
        <v>274.2907029407329</v>
      </c>
      <c r="J21">
        <f t="shared" ca="1" si="5"/>
        <v>949.83083945196984</v>
      </c>
      <c r="K21">
        <f t="shared" ca="1" si="5"/>
        <v>53.446697971352819</v>
      </c>
      <c r="L21">
        <f t="shared" ca="1" si="5"/>
        <v>0</v>
      </c>
      <c r="M21">
        <f t="shared" ca="1" si="5"/>
        <v>0</v>
      </c>
      <c r="N21">
        <f t="shared" ca="1" si="5"/>
        <v>0</v>
      </c>
      <c r="O21">
        <f t="shared" ca="1" si="5"/>
        <v>0</v>
      </c>
    </row>
    <row r="22" spans="2:15">
      <c r="B22" t="s">
        <v>224</v>
      </c>
      <c r="H22">
        <f ca="1">-MIN(H21,H18)</f>
        <v>274.2907029407329</v>
      </c>
      <c r="I22">
        <f t="shared" ref="I22:O22" ca="1" si="6">-MIN(I21,I18)</f>
        <v>675.54013651123694</v>
      </c>
      <c r="J22">
        <f t="shared" ca="1" si="6"/>
        <v>-896.38414148061702</v>
      </c>
      <c r="K22">
        <f t="shared" ca="1" si="6"/>
        <v>-53.446697971352819</v>
      </c>
      <c r="L22">
        <f t="shared" ca="1" si="6"/>
        <v>0</v>
      </c>
      <c r="M22">
        <f t="shared" ca="1" si="6"/>
        <v>0</v>
      </c>
      <c r="N22">
        <f t="shared" ca="1" si="6"/>
        <v>0</v>
      </c>
      <c r="O22">
        <f t="shared" ca="1" si="6"/>
        <v>546.06164773355658</v>
      </c>
    </row>
    <row r="23" spans="2:15">
      <c r="B23" t="s">
        <v>159</v>
      </c>
      <c r="G23">
        <f>BS!G16</f>
        <v>0</v>
      </c>
      <c r="H23">
        <f ca="1">SUM(H21:H22)</f>
        <v>274.2907029407329</v>
      </c>
      <c r="I23">
        <f t="shared" ref="I23:O23" ca="1" si="7">SUM(I21:I22)</f>
        <v>949.83083945196984</v>
      </c>
      <c r="J23">
        <f t="shared" ca="1" si="7"/>
        <v>53.446697971352819</v>
      </c>
      <c r="K23">
        <f t="shared" ca="1" si="7"/>
        <v>0</v>
      </c>
      <c r="L23">
        <f t="shared" ca="1" si="7"/>
        <v>0</v>
      </c>
      <c r="M23">
        <f t="shared" ca="1" si="7"/>
        <v>0</v>
      </c>
      <c r="N23">
        <f t="shared" ca="1" si="7"/>
        <v>0</v>
      </c>
      <c r="O23">
        <f t="shared" ca="1" si="7"/>
        <v>546.06164773355658</v>
      </c>
    </row>
    <row r="24" spans="2:15">
      <c r="B24" t="s">
        <v>178</v>
      </c>
      <c r="H24">
        <f ca="1">-LBO!$G$54*AVERAGE(Debt!G23:H23)</f>
        <v>-9.3258838999849196</v>
      </c>
      <c r="I24">
        <f ca="1">-LBO!$G$54*AVERAGE(Debt!H23:I23)</f>
        <v>-41.620132441351899</v>
      </c>
      <c r="J24">
        <f ca="1">-LBO!$G$54*AVERAGE(Debt!I23:J23)</f>
        <v>-34.111436272392972</v>
      </c>
      <c r="K24">
        <f ca="1">-LBO!$G$54*AVERAGE(Debt!J23:K23)</f>
        <v>-1.8171877310259961</v>
      </c>
      <c r="L24">
        <f ca="1">-LBO!$G$54*AVERAGE(Debt!K23:L23)</f>
        <v>0</v>
      </c>
      <c r="M24">
        <f ca="1">-LBO!$G$54*AVERAGE(Debt!L23:M23)</f>
        <v>0</v>
      </c>
      <c r="N24">
        <f ca="1">-LBO!$G$54*AVERAGE(Debt!M23:N23)</f>
        <v>0</v>
      </c>
      <c r="O24">
        <f ca="1">-LBO!$G$54*AVERAGE(Debt!N23:O23)</f>
        <v>-18.566096022940926</v>
      </c>
    </row>
    <row r="26" spans="2:15">
      <c r="B26" t="s">
        <v>225</v>
      </c>
      <c r="G26">
        <f>LBO!$D$23</f>
        <v>750</v>
      </c>
      <c r="H26">
        <f>LBO!$D$23</f>
        <v>750</v>
      </c>
      <c r="I26">
        <f>LBO!$D$23</f>
        <v>750</v>
      </c>
      <c r="J26">
        <f>LBO!$D$23</f>
        <v>750</v>
      </c>
      <c r="K26">
        <f>LBO!$D$23</f>
        <v>750</v>
      </c>
      <c r="L26">
        <f>LBO!$D$23</f>
        <v>750</v>
      </c>
      <c r="M26">
        <f>LBO!$D$23</f>
        <v>750</v>
      </c>
      <c r="N26">
        <f>LBO!$D$23</f>
        <v>750</v>
      </c>
      <c r="O26">
        <f>LBO!$D$23</f>
        <v>750</v>
      </c>
    </row>
    <row r="27" spans="2:15">
      <c r="B27" t="s">
        <v>89</v>
      </c>
      <c r="G27">
        <f>G23</f>
        <v>0</v>
      </c>
      <c r="H27">
        <f ca="1">H23</f>
        <v>274.2907029407329</v>
      </c>
      <c r="I27">
        <f t="shared" ref="I27:O27" ca="1" si="8">I23</f>
        <v>949.83083945196984</v>
      </c>
      <c r="J27">
        <f t="shared" ca="1" si="8"/>
        <v>53.446697971352819</v>
      </c>
      <c r="K27">
        <f t="shared" ca="1" si="8"/>
        <v>0</v>
      </c>
      <c r="L27">
        <f t="shared" ca="1" si="8"/>
        <v>0</v>
      </c>
      <c r="M27">
        <f t="shared" ca="1" si="8"/>
        <v>0</v>
      </c>
      <c r="N27">
        <f t="shared" ca="1" si="8"/>
        <v>0</v>
      </c>
      <c r="O27">
        <f t="shared" ca="1" si="8"/>
        <v>546.06164773355658</v>
      </c>
    </row>
    <row r="28" spans="2:15">
      <c r="B28" t="s">
        <v>226</v>
      </c>
      <c r="G28">
        <f>MAX(G26-G27,0)</f>
        <v>750</v>
      </c>
      <c r="H28">
        <f t="shared" ref="H28:O28" ca="1" si="9">MAX(H26-H27,0)</f>
        <v>475.7092970592671</v>
      </c>
      <c r="I28">
        <f t="shared" ca="1" si="9"/>
        <v>0</v>
      </c>
      <c r="J28">
        <f t="shared" ca="1" si="9"/>
        <v>696.55330202864718</v>
      </c>
      <c r="K28">
        <f t="shared" ca="1" si="9"/>
        <v>750</v>
      </c>
      <c r="L28">
        <f t="shared" ca="1" si="9"/>
        <v>750</v>
      </c>
      <c r="M28">
        <f t="shared" ca="1" si="9"/>
        <v>750</v>
      </c>
      <c r="N28">
        <f t="shared" ca="1" si="9"/>
        <v>750</v>
      </c>
      <c r="O28">
        <f t="shared" ca="1" si="9"/>
        <v>203.93835226644342</v>
      </c>
    </row>
    <row r="29" spans="2:15">
      <c r="B29" t="s">
        <v>227</v>
      </c>
      <c r="H29">
        <f ca="1">AVERAGE(G28,H28)*LBO!$D$24*-1</f>
        <v>-3.0642732426481678</v>
      </c>
      <c r="I29">
        <f ca="1">AVERAGE(H28,I28)*LBO!$D$24*-1</f>
        <v>-1.1892732426481678</v>
      </c>
      <c r="J29">
        <f ca="1">AVERAGE(I28,J28)*LBO!$D$24*-1</f>
        <v>-1.741383255071618</v>
      </c>
      <c r="K29">
        <f ca="1">AVERAGE(J28,K28)*LBO!$D$24*-1</f>
        <v>-3.616383255071618</v>
      </c>
      <c r="L29">
        <f ca="1">AVERAGE(K28,L28)*LBO!$D$24*-1</f>
        <v>-3.75</v>
      </c>
      <c r="M29">
        <f ca="1">AVERAGE(L28,M28)*LBO!$D$24*-1</f>
        <v>-3.75</v>
      </c>
      <c r="N29">
        <f ca="1">AVERAGE(M28,N28)*LBO!$D$24*-1</f>
        <v>-3.75</v>
      </c>
      <c r="O29">
        <f ca="1">AVERAGE(N28,O28)*LBO!$D$24*-1</f>
        <v>-2.3848458806661088</v>
      </c>
    </row>
    <row r="30" spans="2:15">
      <c r="B30" t="s">
        <v>228</v>
      </c>
      <c r="H30" t="str">
        <f ca="1">IF(H27&gt;H26,"Overdrawn", "OK")</f>
        <v>OK</v>
      </c>
      <c r="I30" t="str">
        <f t="shared" ref="I30:O30" ca="1" si="10">IF(I27&gt;I26,"Overdrawn", "OK")</f>
        <v>Overdrawn</v>
      </c>
      <c r="J30" t="str">
        <f t="shared" ca="1" si="10"/>
        <v>OK</v>
      </c>
      <c r="K30" t="str">
        <f t="shared" ca="1" si="10"/>
        <v>OK</v>
      </c>
      <c r="L30" t="str">
        <f t="shared" ca="1" si="10"/>
        <v>OK</v>
      </c>
      <c r="M30" t="str">
        <f t="shared" ca="1" si="10"/>
        <v>OK</v>
      </c>
      <c r="N30" t="str">
        <f t="shared" ca="1" si="10"/>
        <v>OK</v>
      </c>
      <c r="O30" t="str">
        <f t="shared" ca="1" si="10"/>
        <v>OK</v>
      </c>
    </row>
    <row r="32" spans="2:15">
      <c r="B32" t="s">
        <v>229</v>
      </c>
      <c r="H32">
        <f ca="1">(H18+H22)*LBO!$D$21</f>
        <v>0</v>
      </c>
      <c r="I32">
        <f ca="1">(I18+I22)*LBO!$D$21</f>
        <v>0</v>
      </c>
      <c r="J32">
        <f ca="1">(J18+J22)*LBO!$D$21</f>
        <v>0</v>
      </c>
      <c r="K32">
        <f ca="1">(K18+K22)*LBO!$D$21</f>
        <v>587.83918423974274</v>
      </c>
      <c r="L32">
        <f ca="1">(L18+L22)*LBO!$D$21</f>
        <v>825.17516147654453</v>
      </c>
      <c r="M32">
        <f ca="1">(M18+M22)*LBO!$D$21</f>
        <v>923.48621652363454</v>
      </c>
      <c r="N32">
        <f ca="1">(N18+N22)*LBO!$D$21</f>
        <v>998.20782415484155</v>
      </c>
      <c r="O32">
        <f ca="1">(O18+O22)*LBO!$D$21</f>
        <v>0</v>
      </c>
    </row>
    <row r="34" spans="2:15">
      <c r="B34" s="60" t="str">
        <f>B6</f>
        <v>Term loan B</v>
      </c>
    </row>
    <row r="35" spans="2:15">
      <c r="B35" s="90" t="s">
        <v>230</v>
      </c>
      <c r="D35" s="66">
        <v>3</v>
      </c>
      <c r="H35">
        <v>1</v>
      </c>
      <c r="I35">
        <v>2</v>
      </c>
      <c r="J35">
        <v>3</v>
      </c>
      <c r="K35">
        <v>4</v>
      </c>
      <c r="L35">
        <v>5</v>
      </c>
      <c r="M35">
        <v>6</v>
      </c>
      <c r="N35">
        <v>7</v>
      </c>
      <c r="O35">
        <v>8</v>
      </c>
    </row>
    <row r="36" spans="2:15">
      <c r="B36" s="90" t="s">
        <v>231</v>
      </c>
      <c r="D36" s="70">
        <v>7.0000000000000007E-2</v>
      </c>
    </row>
    <row r="37" spans="2:15">
      <c r="B37" s="90" t="s">
        <v>232</v>
      </c>
      <c r="D37" s="66">
        <v>8000</v>
      </c>
    </row>
    <row r="38" spans="2:15">
      <c r="B38" s="60"/>
    </row>
    <row r="39" spans="2:15">
      <c r="B39" t="s">
        <v>233</v>
      </c>
      <c r="H39">
        <f>G43</f>
        <v>5000</v>
      </c>
      <c r="I39">
        <f t="shared" ref="I39:O39" ca="1" si="11">H43</f>
        <v>5000</v>
      </c>
      <c r="J39">
        <f t="shared" ca="1" si="11"/>
        <v>5000</v>
      </c>
      <c r="K39">
        <f t="shared" ca="1" si="11"/>
        <v>0</v>
      </c>
      <c r="L39">
        <f t="shared" ca="1" si="11"/>
        <v>0</v>
      </c>
      <c r="M39">
        <f t="shared" ca="1" si="11"/>
        <v>0</v>
      </c>
      <c r="N39">
        <f t="shared" ca="1" si="11"/>
        <v>0</v>
      </c>
      <c r="O39">
        <f t="shared" ca="1" si="11"/>
        <v>0</v>
      </c>
    </row>
    <row r="40" spans="2:15">
      <c r="B40" s="90" t="s">
        <v>234</v>
      </c>
      <c r="H40">
        <f>IF(H35=$D$35,G43*-1,)</f>
        <v>0</v>
      </c>
      <c r="I40">
        <f t="shared" ref="I40:O40" si="12">IF(I35=$D$35,H43*-1,)</f>
        <v>0</v>
      </c>
      <c r="J40">
        <f t="shared" ca="1" si="12"/>
        <v>-5000</v>
      </c>
      <c r="K40">
        <f t="shared" si="12"/>
        <v>0</v>
      </c>
      <c r="L40">
        <f t="shared" si="12"/>
        <v>0</v>
      </c>
      <c r="M40">
        <f t="shared" si="12"/>
        <v>0</v>
      </c>
      <c r="N40">
        <f t="shared" si="12"/>
        <v>0</v>
      </c>
      <c r="O40">
        <f t="shared" si="12"/>
        <v>0</v>
      </c>
    </row>
    <row r="41" spans="2:15">
      <c r="B41" t="s">
        <v>235</v>
      </c>
      <c r="H41">
        <f>-MIN($G$43*H6,H39)</f>
        <v>0</v>
      </c>
      <c r="I41">
        <f ca="1">-MIN($G$43*I6,I39)</f>
        <v>0</v>
      </c>
      <c r="J41">
        <f ca="1">-MIN($G$43*J6,J39)</f>
        <v>0</v>
      </c>
      <c r="K41">
        <f ca="1">-MIN($G$43*K6,K39)</f>
        <v>0</v>
      </c>
      <c r="L41">
        <f ca="1">-MIN($G$43*L6,L39)</f>
        <v>0</v>
      </c>
      <c r="M41">
        <f ca="1">-MIN($G$43*M6,M39)</f>
        <v>0</v>
      </c>
      <c r="N41">
        <f ca="1">-MIN($G$43*N6,N39)</f>
        <v>0</v>
      </c>
      <c r="O41">
        <f ca="1">-MIN($G$43*O6,O39)</f>
        <v>0</v>
      </c>
    </row>
    <row r="42" spans="2:15">
      <c r="B42" s="90" t="s">
        <v>236</v>
      </c>
      <c r="H42">
        <f ca="1">-MIN(H39+H41+H40,H32)</f>
        <v>0</v>
      </c>
      <c r="I42">
        <f t="shared" ref="I42:O42" ca="1" si="13">-MIN(I39+I41+I40,I32)</f>
        <v>0</v>
      </c>
      <c r="J42">
        <f t="shared" ca="1" si="13"/>
        <v>0</v>
      </c>
      <c r="K42">
        <f t="shared" ca="1" si="13"/>
        <v>0</v>
      </c>
      <c r="L42">
        <f t="shared" ca="1" si="13"/>
        <v>0</v>
      </c>
      <c r="M42">
        <f t="shared" ca="1" si="13"/>
        <v>0</v>
      </c>
      <c r="N42">
        <f t="shared" ca="1" si="13"/>
        <v>0</v>
      </c>
      <c r="O42">
        <f t="shared" ca="1" si="13"/>
        <v>0</v>
      </c>
    </row>
    <row r="43" spans="2:15">
      <c r="B43" t="s">
        <v>237</v>
      </c>
      <c r="G43">
        <f>BS!F23</f>
        <v>5000</v>
      </c>
      <c r="H43">
        <f ca="1">SUM(H39:H42)</f>
        <v>5000</v>
      </c>
      <c r="I43">
        <f t="shared" ref="I43:O43" ca="1" si="14">SUM(I39:I42)</f>
        <v>5000</v>
      </c>
      <c r="J43">
        <f t="shared" ca="1" si="14"/>
        <v>0</v>
      </c>
      <c r="K43">
        <f t="shared" ca="1" si="14"/>
        <v>0</v>
      </c>
      <c r="L43">
        <f t="shared" ca="1" si="14"/>
        <v>0</v>
      </c>
      <c r="M43">
        <f t="shared" ca="1" si="14"/>
        <v>0</v>
      </c>
      <c r="N43">
        <f t="shared" ca="1" si="14"/>
        <v>0</v>
      </c>
      <c r="O43">
        <f t="shared" ca="1" si="14"/>
        <v>0</v>
      </c>
    </row>
    <row r="44" spans="2:15">
      <c r="B44" t="s">
        <v>178</v>
      </c>
      <c r="H44">
        <f ca="1">-LBO!$G$55*AVERAGE(Debt!G43:H43)</f>
        <v>-340</v>
      </c>
      <c r="I44">
        <f ca="1">-LBO!$G$55*AVERAGE(Debt!H43:I43)</f>
        <v>-340</v>
      </c>
      <c r="J44">
        <f ca="1">-LBO!$G$55*AVERAGE(Debt!I43:J43)</f>
        <v>-170</v>
      </c>
      <c r="K44">
        <f ca="1">-LBO!$G$55*AVERAGE(Debt!J43:K43)</f>
        <v>0</v>
      </c>
      <c r="L44">
        <f ca="1">-LBO!$G$55*AVERAGE(Debt!K43:L43)</f>
        <v>0</v>
      </c>
      <c r="M44">
        <f ca="1">-LBO!$G$55*AVERAGE(Debt!L43:M43)</f>
        <v>0</v>
      </c>
      <c r="N44">
        <f ca="1">-LBO!$G$55*AVERAGE(Debt!M43:N43)</f>
        <v>0</v>
      </c>
      <c r="O44">
        <f ca="1">-LBO!$G$55*AVERAGE(Debt!N43:O43)</f>
        <v>0</v>
      </c>
    </row>
    <row r="46" spans="2:15">
      <c r="B46" s="60" t="s">
        <v>238</v>
      </c>
    </row>
    <row r="47" spans="2:15">
      <c r="B47" s="90" t="s">
        <v>233</v>
      </c>
      <c r="H47">
        <f>G50</f>
        <v>0</v>
      </c>
      <c r="I47">
        <f t="shared" ref="I47:O47" ca="1" si="15">H50</f>
        <v>0</v>
      </c>
      <c r="J47">
        <f t="shared" ca="1" si="15"/>
        <v>0</v>
      </c>
      <c r="K47">
        <f t="shared" ca="1" si="15"/>
        <v>8000</v>
      </c>
      <c r="L47">
        <f t="shared" ca="1" si="15"/>
        <v>7412.1608157602568</v>
      </c>
      <c r="M47">
        <f t="shared" ca="1" si="15"/>
        <v>6586.9856542837124</v>
      </c>
      <c r="N47">
        <f t="shared" ca="1" si="15"/>
        <v>5663.4994377600779</v>
      </c>
      <c r="O47">
        <f t="shared" ca="1" si="15"/>
        <v>4665.2916136052363</v>
      </c>
    </row>
    <row r="48" spans="2:15">
      <c r="B48" s="90" t="s">
        <v>239</v>
      </c>
      <c r="H48">
        <f>IF(H35=$D$35,$D$37,)</f>
        <v>0</v>
      </c>
      <c r="I48">
        <f t="shared" ref="I48:O48" si="16">IF(I35=$D$35,$D$37,)</f>
        <v>0</v>
      </c>
      <c r="J48">
        <f t="shared" si="16"/>
        <v>8000</v>
      </c>
      <c r="K48">
        <f t="shared" si="16"/>
        <v>0</v>
      </c>
      <c r="L48">
        <f t="shared" si="16"/>
        <v>0</v>
      </c>
      <c r="M48">
        <f t="shared" si="16"/>
        <v>0</v>
      </c>
      <c r="N48">
        <f t="shared" si="16"/>
        <v>0</v>
      </c>
      <c r="O48">
        <f t="shared" si="16"/>
        <v>0</v>
      </c>
    </row>
    <row r="49" spans="2:15">
      <c r="B49" s="90" t="s">
        <v>236</v>
      </c>
      <c r="H49">
        <f ca="1">MIN(H47,H32)*-1</f>
        <v>0</v>
      </c>
      <c r="I49">
        <f t="shared" ref="I49:O49" ca="1" si="17">MIN(I47,I32)*-1</f>
        <v>0</v>
      </c>
      <c r="J49">
        <f t="shared" ca="1" si="17"/>
        <v>0</v>
      </c>
      <c r="K49">
        <f t="shared" ca="1" si="17"/>
        <v>-587.83918423974274</v>
      </c>
      <c r="L49">
        <f t="shared" ca="1" si="17"/>
        <v>-825.17516147654453</v>
      </c>
      <c r="M49">
        <f t="shared" ca="1" si="17"/>
        <v>-923.48621652363454</v>
      </c>
      <c r="N49">
        <f t="shared" ca="1" si="17"/>
        <v>-998.20782415484155</v>
      </c>
      <c r="O49">
        <f t="shared" ca="1" si="17"/>
        <v>0</v>
      </c>
    </row>
    <row r="50" spans="2:15">
      <c r="B50" s="90" t="s">
        <v>237</v>
      </c>
      <c r="G50" s="75">
        <v>0</v>
      </c>
      <c r="H50">
        <f ca="1">SUM(H47:H49)</f>
        <v>0</v>
      </c>
      <c r="I50">
        <f ca="1">SUM(I47:I49)</f>
        <v>0</v>
      </c>
      <c r="J50">
        <f ca="1">SUM(J47:J49)</f>
        <v>8000</v>
      </c>
      <c r="K50">
        <f ca="1">SUM(K47:K49)</f>
        <v>7412.1608157602568</v>
      </c>
      <c r="L50">
        <f ca="1">SUM(L47:L49)</f>
        <v>6586.9856542837124</v>
      </c>
      <c r="M50">
        <f ca="1">SUM(M47:M49)</f>
        <v>5663.4994377600779</v>
      </c>
      <c r="N50">
        <f ca="1">SUM(N47:N49)</f>
        <v>4665.2916136052363</v>
      </c>
      <c r="O50">
        <f ca="1">SUM(O47:O49)</f>
        <v>4665.2916136052363</v>
      </c>
    </row>
    <row r="51" spans="2:15">
      <c r="B51" s="90" t="s">
        <v>178</v>
      </c>
      <c r="H51">
        <f ca="1">AVERAGE(G50,H50)*$D$36*-1</f>
        <v>0</v>
      </c>
      <c r="I51">
        <f t="shared" ref="I51:O51" ca="1" si="18">AVERAGE(H50,I50)*$D$36*-1</f>
        <v>0</v>
      </c>
      <c r="J51">
        <f t="shared" ca="1" si="18"/>
        <v>-280</v>
      </c>
      <c r="K51">
        <f t="shared" ca="1" si="18"/>
        <v>-539.42562855160907</v>
      </c>
      <c r="L51">
        <f t="shared" ca="1" si="18"/>
        <v>-489.97012645153893</v>
      </c>
      <c r="M51">
        <f t="shared" ca="1" si="18"/>
        <v>-428.76697822153267</v>
      </c>
      <c r="N51">
        <f t="shared" ca="1" si="18"/>
        <v>-361.50768679778605</v>
      </c>
      <c r="O51">
        <f t="shared" ca="1" si="18"/>
        <v>-326.57041295236655</v>
      </c>
    </row>
    <row r="52" spans="2:15">
      <c r="H52" s="58"/>
      <c r="I52" s="58"/>
      <c r="J52" s="58"/>
      <c r="K52" s="58"/>
      <c r="L52" s="58"/>
      <c r="M52" s="58"/>
      <c r="N52" s="58"/>
      <c r="O52" s="58"/>
    </row>
    <row r="53" spans="2:15">
      <c r="B53" s="90" t="s">
        <v>162</v>
      </c>
      <c r="H53">
        <f>(H40+H48)*-1</f>
        <v>0</v>
      </c>
      <c r="I53">
        <f t="shared" ref="I53:O53" si="19">(I40+I48)*-1</f>
        <v>0</v>
      </c>
      <c r="J53">
        <f t="shared" ca="1" si="19"/>
        <v>-3000</v>
      </c>
      <c r="K53">
        <f t="shared" si="19"/>
        <v>0</v>
      </c>
      <c r="L53">
        <f t="shared" si="19"/>
        <v>0</v>
      </c>
      <c r="M53">
        <f t="shared" si="19"/>
        <v>0</v>
      </c>
      <c r="N53">
        <f t="shared" si="19"/>
        <v>0</v>
      </c>
      <c r="O53">
        <f t="shared" si="19"/>
        <v>0</v>
      </c>
    </row>
    <row r="54" spans="2:15">
      <c r="H54" s="58"/>
      <c r="I54" s="58"/>
      <c r="J54" s="58"/>
      <c r="K54" s="58"/>
      <c r="L54" s="58"/>
      <c r="M54" s="58"/>
      <c r="N54" s="58"/>
      <c r="O54" s="58"/>
    </row>
    <row r="55" spans="2:15">
      <c r="B55" s="90" t="s">
        <v>240</v>
      </c>
      <c r="H55">
        <f ca="1">H32+H42+H49+H40+H48+H53</f>
        <v>0</v>
      </c>
      <c r="I55">
        <f t="shared" ref="I55:O55" ca="1" si="20">I32+I42+I49+I40+I48+I53</f>
        <v>0</v>
      </c>
      <c r="J55">
        <f t="shared" ca="1" si="20"/>
        <v>0</v>
      </c>
      <c r="K55">
        <f t="shared" ca="1" si="20"/>
        <v>0</v>
      </c>
      <c r="L55">
        <f t="shared" ca="1" si="20"/>
        <v>0</v>
      </c>
      <c r="M55">
        <f t="shared" ca="1" si="20"/>
        <v>0</v>
      </c>
      <c r="N55">
        <f t="shared" ca="1" si="20"/>
        <v>0</v>
      </c>
      <c r="O55">
        <f t="shared" ca="1" si="20"/>
        <v>0</v>
      </c>
    </row>
    <row r="57" spans="2:15">
      <c r="B57" s="60" t="str">
        <f>B7</f>
        <v>Subordinated debt</v>
      </c>
    </row>
    <row r="58" spans="2:15">
      <c r="B58" t="s">
        <v>233</v>
      </c>
      <c r="H58">
        <f>G61</f>
        <v>2000</v>
      </c>
      <c r="I58">
        <f t="shared" ref="I58:O58" ca="1" si="21">H61</f>
        <v>2000</v>
      </c>
      <c r="J58">
        <f t="shared" ca="1" si="21"/>
        <v>2000</v>
      </c>
      <c r="K58">
        <f t="shared" ca="1" si="21"/>
        <v>2000</v>
      </c>
      <c r="L58">
        <f t="shared" ca="1" si="21"/>
        <v>2000</v>
      </c>
      <c r="M58">
        <f t="shared" ca="1" si="21"/>
        <v>2000</v>
      </c>
      <c r="N58">
        <f t="shared" ca="1" si="21"/>
        <v>2000</v>
      </c>
      <c r="O58">
        <f t="shared" ca="1" si="21"/>
        <v>2000</v>
      </c>
    </row>
    <row r="59" spans="2:15">
      <c r="B59" t="s">
        <v>235</v>
      </c>
      <c r="H59">
        <f>-MIN($G$61*H7,H58)</f>
        <v>0</v>
      </c>
      <c r="I59">
        <f ca="1">-MIN($G$61*I7,I58)</f>
        <v>0</v>
      </c>
      <c r="J59">
        <f ca="1">-MIN($G$61*J7,J58)</f>
        <v>0</v>
      </c>
      <c r="K59">
        <f ca="1">-MIN($G$61*K7,K58)</f>
        <v>0</v>
      </c>
      <c r="L59">
        <f ca="1">-MIN($G$61*L7,L58)</f>
        <v>0</v>
      </c>
      <c r="M59">
        <f ca="1">-MIN($G$61*M7,M58)</f>
        <v>0</v>
      </c>
      <c r="N59">
        <f ca="1">-MIN($G$61*N7,N58)</f>
        <v>0</v>
      </c>
      <c r="O59">
        <f ca="1">-MIN($G$61*O7,O58)</f>
        <v>-2000</v>
      </c>
    </row>
    <row r="60" spans="2:15">
      <c r="B60" t="s">
        <v>236</v>
      </c>
      <c r="H60">
        <f ca="1">-MIN(H58+H59,H55)</f>
        <v>0</v>
      </c>
      <c r="I60">
        <f t="shared" ref="I60:O60" ca="1" si="22">-MIN(I58+I59,I55)</f>
        <v>0</v>
      </c>
      <c r="J60">
        <f t="shared" ca="1" si="22"/>
        <v>0</v>
      </c>
      <c r="K60">
        <f t="shared" ca="1" si="22"/>
        <v>0</v>
      </c>
      <c r="L60">
        <f t="shared" ca="1" si="22"/>
        <v>0</v>
      </c>
      <c r="M60">
        <f t="shared" ca="1" si="22"/>
        <v>0</v>
      </c>
      <c r="N60">
        <f t="shared" ca="1" si="22"/>
        <v>0</v>
      </c>
      <c r="O60">
        <f t="shared" ca="1" si="22"/>
        <v>0</v>
      </c>
    </row>
    <row r="61" spans="2:15">
      <c r="B61" t="s">
        <v>237</v>
      </c>
      <c r="G61">
        <f>BS!F25</f>
        <v>2000</v>
      </c>
      <c r="H61">
        <f ca="1">SUM(H58:H60)</f>
        <v>2000</v>
      </c>
      <c r="I61">
        <f t="shared" ref="I61:O61" ca="1" si="23">SUM(I58:I60)</f>
        <v>2000</v>
      </c>
      <c r="J61">
        <f t="shared" ca="1" si="23"/>
        <v>2000</v>
      </c>
      <c r="K61">
        <f t="shared" ca="1" si="23"/>
        <v>2000</v>
      </c>
      <c r="L61">
        <f t="shared" ca="1" si="23"/>
        <v>2000</v>
      </c>
      <c r="M61">
        <f t="shared" ca="1" si="23"/>
        <v>2000</v>
      </c>
      <c r="N61">
        <f t="shared" ca="1" si="23"/>
        <v>2000</v>
      </c>
      <c r="O61">
        <f t="shared" ca="1" si="23"/>
        <v>0</v>
      </c>
    </row>
    <row r="62" spans="2:15">
      <c r="B62" t="s">
        <v>178</v>
      </c>
      <c r="H62">
        <f ca="1">-LBO!$G$56*AVERAGE(Debt!G61:H61)</f>
        <v>-161</v>
      </c>
      <c r="I62">
        <f ca="1">-LBO!$G$56*AVERAGE(Debt!H61:I61)</f>
        <v>-161</v>
      </c>
      <c r="J62">
        <f ca="1">-LBO!$G$56*AVERAGE(Debt!I61:J61)</f>
        <v>-161</v>
      </c>
      <c r="K62">
        <f ca="1">-LBO!$G$56*AVERAGE(Debt!J61:K61)</f>
        <v>-161</v>
      </c>
      <c r="L62">
        <f ca="1">-LBO!$G$56*AVERAGE(Debt!K61:L61)</f>
        <v>-161</v>
      </c>
      <c r="M62">
        <f ca="1">-LBO!$G$56*AVERAGE(Debt!L61:M61)</f>
        <v>-161</v>
      </c>
      <c r="N62">
        <f ca="1">-LBO!$G$56*AVERAGE(Debt!M61:N61)</f>
        <v>-161</v>
      </c>
      <c r="O62">
        <f ca="1">-LBO!$G$56*AVERAGE(Debt!N61:O61)</f>
        <v>-80.5</v>
      </c>
    </row>
    <row r="64" spans="2:15">
      <c r="B64" s="88" t="s">
        <v>77</v>
      </c>
    </row>
    <row r="65" spans="1:15">
      <c r="B65" t="s">
        <v>241</v>
      </c>
      <c r="D65" s="66">
        <v>1</v>
      </c>
    </row>
    <row r="66" spans="1:15">
      <c r="B66" t="s">
        <v>242</v>
      </c>
      <c r="D66" s="77">
        <v>-0.02</v>
      </c>
    </row>
    <row r="67" spans="1:15">
      <c r="B67" t="s">
        <v>243</v>
      </c>
      <c r="D67" s="58">
        <f>LBO!$G$57+Debt!D66</f>
        <v>9.9999999999999992E-2</v>
      </c>
    </row>
    <row r="68" spans="1:15">
      <c r="B68" s="88"/>
    </row>
    <row r="69" spans="1:15">
      <c r="B69" t="s">
        <v>233</v>
      </c>
      <c r="C69" s="80"/>
      <c r="D69" s="80"/>
      <c r="E69" s="80"/>
      <c r="F69" s="80"/>
      <c r="G69" s="80"/>
      <c r="H69">
        <f>G71</f>
        <v>1500</v>
      </c>
      <c r="I69">
        <f t="shared" ref="I69:O69" si="24">H71</f>
        <v>1680</v>
      </c>
      <c r="J69">
        <f t="shared" si="24"/>
        <v>1881.6</v>
      </c>
      <c r="K69">
        <f t="shared" si="24"/>
        <v>2107.3919999999998</v>
      </c>
      <c r="L69">
        <f t="shared" si="24"/>
        <v>2360.2790399999999</v>
      </c>
      <c r="M69">
        <f t="shared" si="24"/>
        <v>2643.5125247999999</v>
      </c>
      <c r="N69">
        <f t="shared" si="24"/>
        <v>2960.7340277759999</v>
      </c>
      <c r="O69">
        <f t="shared" si="24"/>
        <v>3316.02211110912</v>
      </c>
    </row>
    <row r="70" spans="1:15">
      <c r="B70" t="s">
        <v>244</v>
      </c>
      <c r="H70">
        <f>$D$65*LBO!$G$57*Debt!H69</f>
        <v>180</v>
      </c>
      <c r="I70">
        <f>$D$65*LBO!$G$57*Debt!I69</f>
        <v>201.6</v>
      </c>
      <c r="J70">
        <f>$D$65*LBO!$G$57*Debt!J69</f>
        <v>225.79199999999997</v>
      </c>
      <c r="K70">
        <f>$D$65*LBO!$G$57*Debt!K69</f>
        <v>252.88703999999996</v>
      </c>
      <c r="L70">
        <f>$D$65*LBO!$G$57*Debt!L69</f>
        <v>283.23348479999999</v>
      </c>
      <c r="M70">
        <f>$D$65*LBO!$G$57*Debt!M69</f>
        <v>317.22150297599995</v>
      </c>
      <c r="N70">
        <f>$D$65*LBO!$G$57*Debt!N69</f>
        <v>355.28808333311997</v>
      </c>
      <c r="O70">
        <f>$D$65*LBO!$G$57*Debt!O69</f>
        <v>397.92265333309439</v>
      </c>
    </row>
    <row r="71" spans="1:15">
      <c r="B71" t="s">
        <v>237</v>
      </c>
      <c r="G71">
        <f>LBO!C57</f>
        <v>1500</v>
      </c>
      <c r="H71">
        <f>SUM(H69:H70)</f>
        <v>1680</v>
      </c>
      <c r="I71">
        <f t="shared" ref="I71:O71" si="25">SUM(I69:I70)</f>
        <v>1881.6</v>
      </c>
      <c r="J71">
        <f t="shared" si="25"/>
        <v>2107.3919999999998</v>
      </c>
      <c r="K71">
        <f t="shared" si="25"/>
        <v>2360.2790399999999</v>
      </c>
      <c r="L71">
        <f t="shared" si="25"/>
        <v>2643.5125247999999</v>
      </c>
      <c r="M71">
        <f t="shared" si="25"/>
        <v>2960.7340277759999</v>
      </c>
      <c r="N71">
        <f t="shared" si="25"/>
        <v>3316.02211110912</v>
      </c>
      <c r="O71">
        <f t="shared" si="25"/>
        <v>3713.9447644422144</v>
      </c>
    </row>
    <row r="72" spans="1:15">
      <c r="B72" t="s">
        <v>201</v>
      </c>
      <c r="H72">
        <f t="shared" ref="H72:O72" si="26">IF($D$65=0,AVERAGE(G71,H71)*$D$67*-1,0)</f>
        <v>0</v>
      </c>
      <c r="I72">
        <f t="shared" si="26"/>
        <v>0</v>
      </c>
      <c r="J72">
        <f t="shared" si="26"/>
        <v>0</v>
      </c>
      <c r="K72">
        <f t="shared" si="26"/>
        <v>0</v>
      </c>
      <c r="L72">
        <f t="shared" si="26"/>
        <v>0</v>
      </c>
      <c r="M72">
        <f t="shared" si="26"/>
        <v>0</v>
      </c>
      <c r="N72">
        <f t="shared" si="26"/>
        <v>0</v>
      </c>
      <c r="O72">
        <f t="shared" si="26"/>
        <v>0</v>
      </c>
    </row>
    <row r="74" spans="1:15">
      <c r="B74" s="90" t="s">
        <v>245</v>
      </c>
      <c r="H74">
        <f ca="1">SUM(H24,H29,H44,H62,H70*-1+H72,SUM(Calc!H34:H36),H51)</f>
        <v>-717.67587142834748</v>
      </c>
      <c r="I74">
        <f ca="1">SUM(I24,I29,I44,I62,I70*-1+I72,SUM(Calc!I34:I36),I51)</f>
        <v>-769.69511996971437</v>
      </c>
      <c r="J74">
        <f ca="1">SUM(J24,J29,J44,J62,J70*-1+J72,SUM(Calc!J34:J36),J51)</f>
        <v>-896.93053381317884</v>
      </c>
      <c r="K74">
        <f ca="1">SUM(K24,K29,K44,K62,K70*-1+K72,SUM(Calc!K34:K36),K51)</f>
        <v>-983.03195382342096</v>
      </c>
      <c r="L74">
        <f ca="1">SUM(L24,L29,L44,L62,L70*-1+L72,SUM(Calc!L34:L36),L51)</f>
        <v>-962.23932553725319</v>
      </c>
      <c r="M74">
        <f ca="1">SUM(M24,M29,M44,M62,M70*-1+M72,SUM(Calc!M34:M36),M51)</f>
        <v>-935.0241954832469</v>
      </c>
      <c r="N74">
        <f ca="1">SUM(N24,N29,N44,N62,N70*-1+N72,SUM(Calc!N34:N36),N51)</f>
        <v>-905.83148441662036</v>
      </c>
      <c r="O74">
        <f ca="1">SUM(O24,O29,O44,O62,O70*-1+O72,SUM(Calc!O34:O36),O51)</f>
        <v>-835.94400818906797</v>
      </c>
    </row>
    <row r="75" spans="1:15">
      <c r="B75" s="90" t="s">
        <v>246</v>
      </c>
      <c r="H75">
        <f ca="1">SUM(H24,H29,H44,H62,H72,H51)</f>
        <v>-513.39015714263314</v>
      </c>
      <c r="I75">
        <f t="shared" ref="I75:O75" ca="1" si="27">SUM(I24,I29,I44,I62,I72,I51)</f>
        <v>-543.80940568400001</v>
      </c>
      <c r="J75">
        <f t="shared" ca="1" si="27"/>
        <v>-646.85281952746459</v>
      </c>
      <c r="K75">
        <f t="shared" ca="1" si="27"/>
        <v>-705.85919953770667</v>
      </c>
      <c r="L75">
        <f t="shared" ca="1" si="27"/>
        <v>-654.72012645153893</v>
      </c>
      <c r="M75">
        <f t="shared" ca="1" si="27"/>
        <v>-593.51697822153267</v>
      </c>
      <c r="N75">
        <f t="shared" ca="1" si="27"/>
        <v>-526.25768679778605</v>
      </c>
      <c r="O75">
        <f t="shared" ca="1" si="27"/>
        <v>-428.02135485597358</v>
      </c>
    </row>
    <row r="78" spans="1:15">
      <c r="A78" s="60" t="s">
        <v>247</v>
      </c>
    </row>
    <row r="79" spans="1:15">
      <c r="B79" t="s">
        <v>90</v>
      </c>
      <c r="H79">
        <f>CFS!H5</f>
        <v>1500.1218625000001</v>
      </c>
      <c r="I79">
        <f>CFS!I5</f>
        <v>1689.1045861999996</v>
      </c>
      <c r="J79">
        <f>CFS!J5</f>
        <v>1867.2284904447502</v>
      </c>
      <c r="K79">
        <f>CFS!K5</f>
        <v>1842.2773495920517</v>
      </c>
      <c r="L79">
        <f>CFS!L5</f>
        <v>1865.9268489467081</v>
      </c>
      <c r="M79">
        <f>CFS!M5</f>
        <v>1880.5188773624861</v>
      </c>
      <c r="N79">
        <f>CFS!N5</f>
        <v>1905.0657426570494</v>
      </c>
      <c r="O79">
        <f>CFS!O5</f>
        <v>1938.3725418293843</v>
      </c>
    </row>
    <row r="80" spans="1:15">
      <c r="B80" t="s">
        <v>248</v>
      </c>
      <c r="H80">
        <f>H79+CFS!H13</f>
        <v>1341.5760300000002</v>
      </c>
      <c r="I80">
        <f>I79+CFS!I13</f>
        <v>1531.6243393474997</v>
      </c>
      <c r="J80">
        <f>J79+CFS!J13</f>
        <v>1694.5493544949102</v>
      </c>
      <c r="K80">
        <f>K79+CFS!K13</f>
        <v>1661.6574693885191</v>
      </c>
      <c r="L80">
        <f>L79+CFS!L13</f>
        <v>1678.0821735350341</v>
      </c>
      <c r="M80">
        <f>M79+CFS!M13</f>
        <v>1685.1604149343452</v>
      </c>
      <c r="N80">
        <f>N79+CFS!N13</f>
        <v>1701.8929417317829</v>
      </c>
      <c r="O80">
        <f>O79+CFS!O13</f>
        <v>1727.0728288671071</v>
      </c>
    </row>
    <row r="81" spans="2:15">
      <c r="B81" t="s">
        <v>249</v>
      </c>
      <c r="G81">
        <f>SUM(G23,G43,G61,G71,G50)</f>
        <v>8500</v>
      </c>
      <c r="H81">
        <f t="shared" ref="H81:O81" ca="1" si="28">SUM(H23,H43,H61,H71,H50)</f>
        <v>8954.2907029407324</v>
      </c>
      <c r="I81">
        <f t="shared" ca="1" si="28"/>
        <v>9831.4308394519703</v>
      </c>
      <c r="J81">
        <f t="shared" ca="1" si="28"/>
        <v>12160.838697971352</v>
      </c>
      <c r="K81">
        <f t="shared" ca="1" si="28"/>
        <v>11772.439855760256</v>
      </c>
      <c r="L81">
        <f t="shared" ca="1" si="28"/>
        <v>11230.498179083712</v>
      </c>
      <c r="M81">
        <f t="shared" ca="1" si="28"/>
        <v>10624.233465536077</v>
      </c>
      <c r="N81">
        <f t="shared" ca="1" si="28"/>
        <v>9981.3137247143568</v>
      </c>
      <c r="O81">
        <f t="shared" ca="1" si="28"/>
        <v>8925.2980257810086</v>
      </c>
    </row>
    <row r="83" spans="2:15">
      <c r="B83" t="s">
        <v>250</v>
      </c>
      <c r="H83" s="64">
        <f ca="1">H81/H79</f>
        <v>5.9690422003570607</v>
      </c>
      <c r="I83" s="64">
        <f t="shared" ref="I83:O83" ca="1" si="29">I81/I79</f>
        <v>5.8204985764498263</v>
      </c>
      <c r="J83" s="64">
        <f t="shared" ca="1" si="29"/>
        <v>6.5127748211868779</v>
      </c>
      <c r="K83" s="64">
        <f t="shared" ca="1" si="29"/>
        <v>6.390156106716022</v>
      </c>
      <c r="L83" s="64">
        <f t="shared" ca="1" si="29"/>
        <v>6.0187237165396841</v>
      </c>
      <c r="M83" s="64">
        <f t="shared" ca="1" si="29"/>
        <v>5.6496287239812508</v>
      </c>
      <c r="N83" s="64">
        <f t="shared" ca="1" si="29"/>
        <v>5.239353950480016</v>
      </c>
      <c r="O83" s="64">
        <f t="shared" ca="1" si="29"/>
        <v>4.6045318086055582</v>
      </c>
    </row>
    <row r="84" spans="2:15">
      <c r="B84" t="s">
        <v>251</v>
      </c>
      <c r="H84" s="64">
        <f ca="1">H81/H80</f>
        <v>6.6744563876418779</v>
      </c>
      <c r="I84" s="64">
        <f t="shared" ref="I84:O84" ca="1" si="30">I81/I80</f>
        <v>6.4189570424562081</v>
      </c>
      <c r="J84" s="64">
        <f t="shared" ca="1" si="30"/>
        <v>7.1764440886385996</v>
      </c>
      <c r="K84" s="64">
        <f t="shared" ca="1" si="30"/>
        <v>7.0847572815909228</v>
      </c>
      <c r="L84" s="64">
        <f t="shared" ca="1" si="30"/>
        <v>6.692460212139455</v>
      </c>
      <c r="M84" s="64">
        <f t="shared" ca="1" si="30"/>
        <v>6.3045828583328092</v>
      </c>
      <c r="N84" s="64">
        <f t="shared" ca="1" si="30"/>
        <v>5.8648305542402355</v>
      </c>
      <c r="O84" s="64">
        <f t="shared" ca="1" si="30"/>
        <v>5.1678758860653602</v>
      </c>
    </row>
    <row r="85" spans="2:15">
      <c r="B85" t="s">
        <v>252</v>
      </c>
      <c r="H85" s="64">
        <f ca="1">H79/-H74</f>
        <v>2.0902498219905277</v>
      </c>
      <c r="I85" s="64">
        <f ca="1">I79/-I74</f>
        <v>2.1945112322739706</v>
      </c>
      <c r="J85" s="64">
        <f ca="1">J79/-J74</f>
        <v>2.0817983333742478</v>
      </c>
      <c r="K85" s="64">
        <f ca="1">K79/-K74</f>
        <v>1.8740767707770507</v>
      </c>
      <c r="L85" s="64">
        <f ca="1">L79/-L74</f>
        <v>1.9391504789153087</v>
      </c>
      <c r="M85" s="64">
        <f ca="1">M79/-M74</f>
        <v>2.0111980913933256</v>
      </c>
      <c r="N85" s="64">
        <f ca="1">N79/-N74</f>
        <v>2.1031127482657137</v>
      </c>
      <c r="O85" s="64">
        <f ca="1">O79/-O74</f>
        <v>2.3187827448258673</v>
      </c>
    </row>
    <row r="86" spans="2:15">
      <c r="B86" t="s">
        <v>253</v>
      </c>
      <c r="H86" s="64">
        <f ca="1">(H80+CFS!H13)/-Debt!H74</f>
        <v>1.6484185195546366</v>
      </c>
      <c r="I86" s="64">
        <f ca="1">(I80+CFS!I13)/-Debt!I74</f>
        <v>1.7853096074573904</v>
      </c>
      <c r="J86" s="64">
        <f ca="1">(J80+CFS!J13)/-Debt!J74</f>
        <v>1.6967537185684212</v>
      </c>
      <c r="K86" s="64">
        <f ca="1">(K80+CFS!K13)/-Debt!K74</f>
        <v>1.5066016759929461</v>
      </c>
      <c r="L86" s="64">
        <f ca="1">(L80+CFS!L13)/-Debt!L74</f>
        <v>1.5487181396284198</v>
      </c>
      <c r="M86" s="64">
        <f ca="1">(M80+CFS!M13)/-Debt!M74</f>
        <v>1.5933298407708398</v>
      </c>
      <c r="N86" s="64">
        <f ca="1">(N80+CFS!N13)/-Debt!N74</f>
        <v>1.6545242317026905</v>
      </c>
      <c r="O86" s="64">
        <f ca="1">(O80+CFS!O13)/-Debt!O74</f>
        <v>1.8132471805001595</v>
      </c>
    </row>
    <row r="87" spans="2:15">
      <c r="B87" t="s">
        <v>254</v>
      </c>
      <c r="H87" s="62">
        <f t="shared" ref="H87:O87" ca="1" si="31">1-H81/$G$81</f>
        <v>-5.3445965051850841E-2</v>
      </c>
      <c r="I87" s="62">
        <f t="shared" ca="1" si="31"/>
        <v>-0.15663892228846699</v>
      </c>
      <c r="J87" s="62">
        <f t="shared" ca="1" si="31"/>
        <v>-0.43068690564368861</v>
      </c>
      <c r="K87" s="62">
        <f t="shared" ca="1" si="31"/>
        <v>-0.38499292420708886</v>
      </c>
      <c r="L87" s="62">
        <f t="shared" ca="1" si="31"/>
        <v>-0.32123507989220146</v>
      </c>
      <c r="M87" s="62">
        <f t="shared" ca="1" si="31"/>
        <v>-0.2499098194748326</v>
      </c>
      <c r="N87" s="62">
        <f t="shared" ca="1" si="31"/>
        <v>-0.17427220290757139</v>
      </c>
      <c r="O87" s="62">
        <f t="shared" ca="1" si="31"/>
        <v>-5.0035061856589236E-2</v>
      </c>
    </row>
  </sheetData>
  <dataValidations count="1">
    <dataValidation type="list" allowBlank="1" showInputMessage="1" showErrorMessage="1" sqref="D65" xr:uid="{22B1DF05-8465-46A9-B05F-811B3B46F7F2}">
      <formula1>"0,1"</formula1>
    </dataValidation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9eded41-6c5d-4718-b7b7-dbfd1652bccf">
      <Terms xmlns="http://schemas.microsoft.com/office/infopath/2007/PartnerControls"/>
    </lcf76f155ced4ddcb4097134ff3c332f>
    <TaxCatchAll xmlns="6ea4884f-dd23-4a9e-9674-e0962577458b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002F8CDD7ACF40A6C36B1C9FA62C55" ma:contentTypeVersion="14" ma:contentTypeDescription="Create a new document." ma:contentTypeScope="" ma:versionID="6c89911dbbba69f85380b0cbe19a7a97">
  <xsd:schema xmlns:xsd="http://www.w3.org/2001/XMLSchema" xmlns:xs="http://www.w3.org/2001/XMLSchema" xmlns:p="http://schemas.microsoft.com/office/2006/metadata/properties" xmlns:ns2="69eded41-6c5d-4718-b7b7-dbfd1652bccf" xmlns:ns3="6ea4884f-dd23-4a9e-9674-e0962577458b" targetNamespace="http://schemas.microsoft.com/office/2006/metadata/properties" ma:root="true" ma:fieldsID="293c7e17b22c7855182087285b20e1b3" ns2:_="" ns3:_="">
    <xsd:import namespace="69eded41-6c5d-4718-b7b7-dbfd1652bccf"/>
    <xsd:import namespace="6ea4884f-dd23-4a9e-9674-e0962577458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eded41-6c5d-4718-b7b7-dbfd1652bc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c32ff089-c713-41da-a7f8-7725fa36ebb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a4884f-dd23-4a9e-9674-e0962577458b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797a576b-233c-4f6a-bc99-79689ae6a87f}" ma:internalName="TaxCatchAll" ma:showField="CatchAllData" ma:web="6ea4884f-dd23-4a9e-9674-e0962577458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3594475-9988-4CFD-A4A4-29D1685E9C35}"/>
</file>

<file path=customXml/itemProps2.xml><?xml version="1.0" encoding="utf-8"?>
<ds:datastoreItem xmlns:ds="http://schemas.openxmlformats.org/officeDocument/2006/customXml" ds:itemID="{9CC9EB56-CD20-49B4-A32C-5DB84F1421DA}"/>
</file>

<file path=customXml/itemProps3.xml><?xml version="1.0" encoding="utf-8"?>
<ds:datastoreItem xmlns:ds="http://schemas.openxmlformats.org/officeDocument/2006/customXml" ds:itemID="{AE3D5420-8BB9-4B32-A12E-91794540401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FE training</dc:creator>
  <cp:keywords/>
  <dc:description/>
  <cp:lastModifiedBy>Oliver Sealey</cp:lastModifiedBy>
  <cp:revision/>
  <dcterms:created xsi:type="dcterms:W3CDTF">2016-02-03T14:06:14Z</dcterms:created>
  <dcterms:modified xsi:type="dcterms:W3CDTF">2026-10-22T09:22:32Z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0x0101004F002F8CDD7ACF40A6C36B1C9FA62C55</vt:lpwstr>
  </property>
  <property fmtid="{D5CDD505-2E9C-101B-9397-08002B2CF9AE}" pid="3" name="MediaServiceImageTags">
    <vt:lpwstr/>
  </property>
</Properties>
</file>