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sporg-my.sharepoint.com/personal/oliver_sealey_fe_training/Documents/Documents/prepped numbered resources/7105 Debt Products in PE - Financing Instruments FE/"/>
    </mc:Choice>
  </mc:AlternateContent>
  <xr:revisionPtr revIDLastSave="26" documentId="8_{BE84B99B-3BC5-4F18-B154-FB12537C0005}" xr6:coauthVersionLast="47" xr6:coauthVersionMax="47" xr10:uidLastSave="{7C7A30DF-4916-4090-B7AD-BFA0860B0862}"/>
  <bookViews>
    <workbookView xWindow="4830" yWindow="21480" windowWidth="21840" windowHeight="13920" activeTab="2" xr2:uid="{7BA70363-A8B1-4A1C-B815-61EAE324F4E4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IQWBGuid" hidden="1">"571ab0c3-d74c-43bc-a7ba-442a57d4d174"</definedName>
    <definedName name="date">Info!#REF!</definedName>
    <definedName name="IQ_DNTM" hidden="1">700000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MTD" hidden="1">800000</definedName>
    <definedName name="IQ_NAMES_REVISION_DATE_" hidden="1">"01/29/2016 15:32:18"</definedName>
    <definedName name="IQ_QTD" hidden="1">750000</definedName>
    <definedName name="IQ_TODAY" hidden="1">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witch">Info!$N$11</definedName>
    <definedName name="target_yrend">Info!$N$8</definedName>
    <definedName name="Title">Info!$A$1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28" l="1"/>
  <c r="F73" i="28"/>
  <c r="F63" i="28"/>
  <c r="F60" i="28"/>
  <c r="F54" i="28"/>
  <c r="F45" i="28"/>
  <c r="F36" i="28"/>
  <c r="H18" i="24" l="1"/>
  <c r="I18" i="24"/>
  <c r="J18" i="24"/>
  <c r="K18" i="24"/>
  <c r="L18" i="24"/>
  <c r="M18" i="24"/>
  <c r="N18" i="24"/>
  <c r="G18" i="24"/>
  <c r="F27" i="23"/>
  <c r="F20" i="23"/>
  <c r="C112" i="27"/>
  <c r="C67" i="27"/>
  <c r="C111" i="27" l="1"/>
  <c r="C114" i="27"/>
  <c r="C115" i="27"/>
  <c r="C57" i="27" a="1"/>
  <c r="C59" i="27" a="1"/>
  <c r="C56" i="27" a="1"/>
  <c r="H13" i="22" a="1"/>
  <c r="I13" i="22" a="1"/>
  <c r="J13" i="22" a="1"/>
  <c r="K13" i="22" a="1"/>
  <c r="L13" i="22" a="1"/>
  <c r="M13" i="22" a="1"/>
  <c r="N13" i="22" a="1"/>
  <c r="G13" i="22" a="1"/>
  <c r="H11" i="22"/>
  <c r="I11" i="22"/>
  <c r="J11" i="22"/>
  <c r="K11" i="22"/>
  <c r="L11" i="22"/>
  <c r="M11" i="22"/>
  <c r="N11" i="22"/>
  <c r="G10" i="22" a="1"/>
  <c r="H9" i="22"/>
  <c r="I9" i="22"/>
  <c r="J9" i="22"/>
  <c r="K9" i="22"/>
  <c r="L9" i="22"/>
  <c r="M9" i="22"/>
  <c r="N9" i="22"/>
  <c r="N10" i="22" a="1"/>
  <c r="J8" i="22"/>
  <c r="K8" i="22"/>
  <c r="L8" i="22"/>
  <c r="M8" i="22"/>
  <c r="N8" i="22"/>
  <c r="J10" i="22" a="1"/>
  <c r="I10" i="22" a="1"/>
  <c r="H10" i="22" a="1"/>
  <c r="K10" i="22" a="1"/>
  <c r="M10" i="22" a="1"/>
  <c r="L10" i="22" a="1"/>
  <c r="G86" i="27"/>
  <c r="H16" i="22"/>
  <c r="I16" i="22"/>
  <c r="J16" i="22"/>
  <c r="K16" i="22"/>
  <c r="L16" i="22"/>
  <c r="M16" i="22"/>
  <c r="N16" i="22"/>
  <c r="H15" i="22"/>
  <c r="H10" i="24" s="1"/>
  <c r="I15" i="22"/>
  <c r="I10" i="24" s="1"/>
  <c r="J15" i="22"/>
  <c r="J10" i="24" s="1"/>
  <c r="K15" i="22"/>
  <c r="K10" i="24" s="1"/>
  <c r="L15" i="22"/>
  <c r="L10" i="24" s="1"/>
  <c r="M15" i="22"/>
  <c r="M10" i="24" s="1"/>
  <c r="N15" i="22"/>
  <c r="N10" i="24" s="1"/>
  <c r="G15" i="22"/>
  <c r="G10" i="24" s="1"/>
  <c r="H9" i="24"/>
  <c r="I9" i="24"/>
  <c r="J9" i="24"/>
  <c r="K9" i="24"/>
  <c r="L9" i="24"/>
  <c r="M9" i="24"/>
  <c r="N9" i="24"/>
  <c r="C36" i="25"/>
  <c r="F13" i="25"/>
  <c r="C19" i="24"/>
  <c r="C18" i="24"/>
  <c r="B20" i="26"/>
  <c r="H28" i="22"/>
  <c r="I28" i="22"/>
  <c r="J28" i="22"/>
  <c r="K28" i="22"/>
  <c r="L28" i="22"/>
  <c r="M28" i="22"/>
  <c r="N28" i="22"/>
  <c r="G17" i="23"/>
  <c r="G19" i="23"/>
  <c r="C14" i="25"/>
  <c r="C11" i="25"/>
  <c r="G23" i="23"/>
  <c r="C18" i="25"/>
  <c r="D47" i="27"/>
  <c r="C29" i="22"/>
  <c r="G29" i="22"/>
  <c r="H29" i="22"/>
  <c r="I29" i="22"/>
  <c r="J29" i="22"/>
  <c r="K29" i="22"/>
  <c r="L29" i="22"/>
  <c r="M29" i="22"/>
  <c r="N29" i="22"/>
  <c r="I21" i="22"/>
  <c r="J21" i="22"/>
  <c r="K21" i="22"/>
  <c r="L21" i="22"/>
  <c r="M21" i="22"/>
  <c r="N21" i="22"/>
  <c r="C58" i="27" a="1"/>
  <c r="E27" i="25"/>
  <c r="F27" i="25" s="1"/>
  <c r="G51" i="28"/>
  <c r="G52" i="28" s="1"/>
  <c r="G21" i="28" s="1"/>
  <c r="F13" i="27"/>
  <c r="G25" i="23"/>
  <c r="G64" i="28"/>
  <c r="C12" i="24"/>
  <c r="C30" i="25"/>
  <c r="F9" i="27"/>
  <c r="G9" i="24"/>
  <c r="C18" i="22"/>
  <c r="A2" i="28"/>
  <c r="A2" i="26"/>
  <c r="A2" i="25"/>
  <c r="A2" i="24"/>
  <c r="A2" i="23"/>
  <c r="A2" i="22"/>
  <c r="A2" i="27"/>
  <c r="F12" i="25"/>
  <c r="F24" i="25"/>
  <c r="A1" i="26"/>
  <c r="C3" i="26"/>
  <c r="G5" i="24"/>
  <c r="H5" i="24" s="1"/>
  <c r="C14" i="22"/>
  <c r="C13" i="22"/>
  <c r="C61" i="27" a="1"/>
  <c r="C55" i="27" a="1"/>
  <c r="F8" i="27"/>
  <c r="C7" i="24"/>
  <c r="C11" i="24"/>
  <c r="C32" i="22"/>
  <c r="G32" i="22"/>
  <c r="H32" i="22"/>
  <c r="I32" i="22"/>
  <c r="J32" i="22"/>
  <c r="K32" i="22"/>
  <c r="L32" i="22"/>
  <c r="M32" i="22"/>
  <c r="N32" i="22"/>
  <c r="F20" i="25"/>
  <c r="F45" i="23"/>
  <c r="C21" i="25"/>
  <c r="C24" i="22"/>
  <c r="G24" i="22"/>
  <c r="H24" i="22"/>
  <c r="I24" i="22"/>
  <c r="J24" i="22"/>
  <c r="K24" i="22"/>
  <c r="L24" i="22"/>
  <c r="M24" i="22"/>
  <c r="N24" i="22"/>
  <c r="C3" i="28"/>
  <c r="G3" i="28"/>
  <c r="H3" i="28"/>
  <c r="I3" i="28"/>
  <c r="J3" i="28"/>
  <c r="K3" i="28"/>
  <c r="L3" i="28"/>
  <c r="M3" i="28"/>
  <c r="N3" i="28"/>
  <c r="C3" i="25"/>
  <c r="C3" i="24"/>
  <c r="G3" i="24"/>
  <c r="H3" i="24"/>
  <c r="I3" i="24"/>
  <c r="J3" i="24"/>
  <c r="K3" i="24"/>
  <c r="L3" i="24"/>
  <c r="M3" i="24"/>
  <c r="N3" i="24"/>
  <c r="C3" i="23"/>
  <c r="G3" i="23"/>
  <c r="H3" i="23"/>
  <c r="I3" i="23"/>
  <c r="J3" i="23"/>
  <c r="K3" i="23"/>
  <c r="L3" i="23"/>
  <c r="M3" i="23"/>
  <c r="N3" i="23"/>
  <c r="C3" i="22"/>
  <c r="G3" i="22"/>
  <c r="H3" i="22"/>
  <c r="I3" i="22"/>
  <c r="J3" i="22"/>
  <c r="K3" i="22"/>
  <c r="L3" i="22"/>
  <c r="M3" i="22"/>
  <c r="N3" i="22"/>
  <c r="C3" i="27"/>
  <c r="G3" i="27"/>
  <c r="H3" i="27"/>
  <c r="I3" i="27"/>
  <c r="J3" i="27"/>
  <c r="K3" i="27"/>
  <c r="L3" i="27"/>
  <c r="M3" i="27"/>
  <c r="N3" i="27"/>
  <c r="A3" i="28" a="1"/>
  <c r="A3" i="22" a="1"/>
  <c r="A3" i="27" a="1"/>
  <c r="A2" i="6" a="1"/>
  <c r="A1" i="28"/>
  <c r="A1" i="25"/>
  <c r="A1" i="24"/>
  <c r="A1" i="23"/>
  <c r="A1" i="22"/>
  <c r="A1" i="27"/>
  <c r="C31" i="22"/>
  <c r="G31" i="22"/>
  <c r="H31" i="22"/>
  <c r="I31" i="22"/>
  <c r="J31" i="22"/>
  <c r="K31" i="22"/>
  <c r="L31" i="22"/>
  <c r="M31" i="22"/>
  <c r="N31" i="22"/>
  <c r="H77" i="27"/>
  <c r="H86" i="27"/>
  <c r="E23" i="25"/>
  <c r="F23" i="25"/>
  <c r="G23" i="25"/>
  <c r="H23" i="25"/>
  <c r="E5" i="25"/>
  <c r="F5" i="25"/>
  <c r="F26" i="26"/>
  <c r="G24" i="26"/>
  <c r="F30" i="25"/>
  <c r="F19" i="25"/>
  <c r="F44" i="23"/>
  <c r="F14" i="25"/>
  <c r="F11" i="25"/>
  <c r="F9" i="23"/>
  <c r="G6" i="23"/>
  <c r="G8" i="23"/>
  <c r="F8" i="25"/>
  <c r="F43" i="23"/>
  <c r="F7" i="25"/>
  <c r="F42" i="23"/>
  <c r="F6" i="25"/>
  <c r="F41" i="23"/>
  <c r="H56" i="27"/>
  <c r="H57" i="27"/>
  <c r="H55" i="27"/>
  <c r="B26" i="25"/>
  <c r="B19" i="26" s="1"/>
  <c r="B25" i="25"/>
  <c r="B18" i="26" s="1"/>
  <c r="B46" i="27"/>
  <c r="C33" i="22"/>
  <c r="G33" i="22"/>
  <c r="C30" i="22"/>
  <c r="G30" i="22"/>
  <c r="C27" i="22"/>
  <c r="G27" i="22"/>
  <c r="H27" i="22"/>
  <c r="I27" i="22"/>
  <c r="J27" i="22"/>
  <c r="K27" i="22"/>
  <c r="L27" i="22"/>
  <c r="M27" i="22"/>
  <c r="N27" i="22"/>
  <c r="C26" i="22"/>
  <c r="G26" i="22"/>
  <c r="H26" i="22"/>
  <c r="I26" i="22"/>
  <c r="J26" i="22"/>
  <c r="K26" i="22"/>
  <c r="L26" i="22"/>
  <c r="M26" i="22"/>
  <c r="N26" i="22"/>
  <c r="C25" i="22"/>
  <c r="G25" i="22"/>
  <c r="C31" i="25"/>
  <c r="C34" i="25"/>
  <c r="B44" i="23"/>
  <c r="B43" i="23"/>
  <c r="B42" i="23"/>
  <c r="B41" i="23"/>
  <c r="C9" i="25"/>
  <c r="C16" i="25"/>
  <c r="D68" i="27"/>
  <c r="D67" i="27"/>
  <c r="I23" i="25"/>
  <c r="H17" i="26"/>
  <c r="H30" i="22"/>
  <c r="G14" i="25"/>
  <c r="H8" i="26" s="1"/>
  <c r="H33" i="22"/>
  <c r="G30" i="25"/>
  <c r="G9" i="26" s="1"/>
  <c r="G18" i="23"/>
  <c r="H25" i="22"/>
  <c r="D73" i="27"/>
  <c r="F9" i="25"/>
  <c r="G11" i="28"/>
  <c r="G17" i="26"/>
  <c r="F46" i="23"/>
  <c r="I77" i="27"/>
  <c r="I86" i="27"/>
  <c r="G58" i="28"/>
  <c r="G59" i="28" s="1"/>
  <c r="E28" i="25"/>
  <c r="F28" i="25" s="1"/>
  <c r="F96" i="27"/>
  <c r="F98" i="27"/>
  <c r="E18" i="25"/>
  <c r="F18" i="25"/>
  <c r="F21" i="25" s="1"/>
  <c r="E26" i="25"/>
  <c r="G42" i="28" s="1"/>
  <c r="E25" i="25"/>
  <c r="F103" i="27"/>
  <c r="F90" i="27"/>
  <c r="E33" i="25"/>
  <c r="G8" i="24"/>
  <c r="G3" i="26"/>
  <c r="H3" i="26"/>
  <c r="I3" i="26"/>
  <c r="J3" i="26"/>
  <c r="K3" i="26"/>
  <c r="L3" i="26"/>
  <c r="M3" i="26"/>
  <c r="N3" i="26"/>
  <c r="G3" i="25"/>
  <c r="H3" i="25"/>
  <c r="I3" i="25"/>
  <c r="J3" i="25"/>
  <c r="K3" i="25"/>
  <c r="L3" i="25"/>
  <c r="M3" i="25"/>
  <c r="N3" i="25"/>
  <c r="C13" i="24"/>
  <c r="C21" i="22"/>
  <c r="C17" i="24"/>
  <c r="G6" i="24"/>
  <c r="G7" i="24" s="1"/>
  <c r="C20" i="24"/>
  <c r="F16" i="27"/>
  <c r="E55" i="27"/>
  <c r="E56" i="27"/>
  <c r="J23" i="25"/>
  <c r="I17" i="26"/>
  <c r="I33" i="22"/>
  <c r="H30" i="25"/>
  <c r="H9" i="26" s="1"/>
  <c r="I30" i="22"/>
  <c r="H14" i="25"/>
  <c r="G7" i="25"/>
  <c r="G42" i="23" s="1"/>
  <c r="G19" i="25"/>
  <c r="G44" i="23" s="1"/>
  <c r="G24" i="23"/>
  <c r="I25" i="22"/>
  <c r="J77" i="27"/>
  <c r="C15" i="24"/>
  <c r="G8" i="26"/>
  <c r="K77" i="27"/>
  <c r="J86" i="27"/>
  <c r="K23" i="25"/>
  <c r="J17" i="26"/>
  <c r="J33" i="22"/>
  <c r="I30" i="25"/>
  <c r="I9" i="26" s="1"/>
  <c r="J30" i="22"/>
  <c r="I14" i="25"/>
  <c r="I8" i="26" s="1"/>
  <c r="E57" i="27"/>
  <c r="J25" i="22"/>
  <c r="L77" i="27"/>
  <c r="K86" i="27"/>
  <c r="E58" i="27"/>
  <c r="E59" i="27"/>
  <c r="L23" i="25"/>
  <c r="K17" i="26"/>
  <c r="K30" i="22"/>
  <c r="J14" i="25"/>
  <c r="J8" i="26"/>
  <c r="K33" i="22"/>
  <c r="J30" i="25"/>
  <c r="K25" i="22"/>
  <c r="L86" i="27"/>
  <c r="M77" i="27"/>
  <c r="M23" i="25"/>
  <c r="L17" i="26"/>
  <c r="L33" i="22"/>
  <c r="K30" i="25"/>
  <c r="K9" i="26"/>
  <c r="L30" i="22"/>
  <c r="K14" i="25"/>
  <c r="K8" i="26" s="1"/>
  <c r="L25" i="22"/>
  <c r="M86" i="27"/>
  <c r="N77" i="27"/>
  <c r="N86" i="27"/>
  <c r="N23" i="25"/>
  <c r="N17" i="26"/>
  <c r="M17" i="26"/>
  <c r="M30" i="22"/>
  <c r="L14" i="25"/>
  <c r="M33" i="22"/>
  <c r="L30" i="25"/>
  <c r="L9" i="26" s="1"/>
  <c r="M25" i="22"/>
  <c r="N30" i="22"/>
  <c r="N14" i="25"/>
  <c r="M14" i="25"/>
  <c r="N33" i="22"/>
  <c r="N30" i="25"/>
  <c r="M30" i="25"/>
  <c r="M9" i="26"/>
  <c r="N25" i="22"/>
  <c r="N9" i="26"/>
  <c r="N8" i="26"/>
  <c r="M8" i="26"/>
  <c r="F14" i="23"/>
  <c r="G12" i="23"/>
  <c r="G13" i="23"/>
  <c r="G14" i="23" s="1"/>
  <c r="G19" i="24"/>
  <c r="G20" i="23" l="1"/>
  <c r="G27" i="23" s="1"/>
  <c r="D66" i="27"/>
  <c r="H12" i="23"/>
  <c r="G13" i="25"/>
  <c r="H18" i="23"/>
  <c r="H24" i="23" s="1"/>
  <c r="H6" i="24"/>
  <c r="H8" i="25"/>
  <c r="H43" i="23" s="1"/>
  <c r="H8" i="24"/>
  <c r="I5" i="24"/>
  <c r="H6" i="25"/>
  <c r="H41" i="23" s="1"/>
  <c r="H7" i="23"/>
  <c r="H13" i="26" s="1"/>
  <c r="H14" i="26" s="1"/>
  <c r="H13" i="28" s="1"/>
  <c r="H20" i="25"/>
  <c r="H45" i="23" s="1"/>
  <c r="J9" i="26"/>
  <c r="G7" i="23"/>
  <c r="G8" i="25"/>
  <c r="G43" i="23" s="1"/>
  <c r="G20" i="25"/>
  <c r="G45" i="23" s="1"/>
  <c r="G11" i="24"/>
  <c r="G17" i="24" s="1"/>
  <c r="G20" i="24" s="1"/>
  <c r="G5" i="26" s="1"/>
  <c r="L8" i="26"/>
  <c r="G6" i="25"/>
  <c r="G41" i="23" s="1"/>
  <c r="F26" i="25"/>
  <c r="F25" i="25"/>
  <c r="G33" i="28"/>
  <c r="G34" i="28" s="1"/>
  <c r="G19" i="28" s="1"/>
  <c r="F27" i="28"/>
  <c r="G43" i="28"/>
  <c r="G20" i="28" s="1"/>
  <c r="G60" i="28"/>
  <c r="E30" i="27"/>
  <c r="E31" i="27"/>
  <c r="E32" i="27"/>
  <c r="H17" i="23" l="1"/>
  <c r="H19" i="23" s="1"/>
  <c r="H20" i="23" s="1"/>
  <c r="G12" i="25"/>
  <c r="G78" i="27"/>
  <c r="H19" i="25"/>
  <c r="H44" i="23" s="1"/>
  <c r="H7" i="25"/>
  <c r="H42" i="23" s="1"/>
  <c r="H46" i="23"/>
  <c r="H23" i="23"/>
  <c r="H25" i="23" s="1"/>
  <c r="H64" i="28" s="1"/>
  <c r="G24" i="25"/>
  <c r="G63" i="28"/>
  <c r="G26" i="23"/>
  <c r="G21" i="26" s="1"/>
  <c r="G14" i="28" s="1"/>
  <c r="J5" i="24"/>
  <c r="I18" i="23"/>
  <c r="I24" i="23" s="1"/>
  <c r="I8" i="24"/>
  <c r="I6" i="24"/>
  <c r="I8" i="25"/>
  <c r="I43" i="23" s="1"/>
  <c r="I6" i="25"/>
  <c r="I41" i="23" s="1"/>
  <c r="I20" i="25"/>
  <c r="I45" i="23" s="1"/>
  <c r="I7" i="23"/>
  <c r="I13" i="26" s="1"/>
  <c r="I14" i="26" s="1"/>
  <c r="I13" i="28" s="1"/>
  <c r="G46" i="23"/>
  <c r="G9" i="23"/>
  <c r="G13" i="26"/>
  <c r="G14" i="26" s="1"/>
  <c r="G13" i="28" s="1"/>
  <c r="H7" i="24"/>
  <c r="H11" i="24" s="1"/>
  <c r="H17" i="24" s="1"/>
  <c r="H13" i="23"/>
  <c r="H19" i="24" s="1"/>
  <c r="G28" i="25"/>
  <c r="H58" i="28"/>
  <c r="G82" i="27"/>
  <c r="G96" i="27" s="1"/>
  <c r="F81" i="28"/>
  <c r="F82" i="28"/>
  <c r="G25" i="28"/>
  <c r="F10" i="27"/>
  <c r="G79" i="28"/>
  <c r="H12" i="25" l="1"/>
  <c r="I17" i="23"/>
  <c r="H27" i="23"/>
  <c r="I7" i="25"/>
  <c r="I42" i="23" s="1"/>
  <c r="I19" i="25"/>
  <c r="I44" i="23" s="1"/>
  <c r="I46" i="23"/>
  <c r="I10" i="26" s="1"/>
  <c r="H10" i="26"/>
  <c r="G10" i="26"/>
  <c r="J7" i="24"/>
  <c r="J8" i="25"/>
  <c r="J43" i="23" s="1"/>
  <c r="J6" i="25"/>
  <c r="J41" i="23" s="1"/>
  <c r="K5" i="24"/>
  <c r="J8" i="24"/>
  <c r="J20" i="25"/>
  <c r="J45" i="23" s="1"/>
  <c r="J6" i="24"/>
  <c r="J18" i="23"/>
  <c r="J24" i="23" s="1"/>
  <c r="J7" i="23"/>
  <c r="J13" i="26" s="1"/>
  <c r="J14" i="26" s="1"/>
  <c r="J13" i="28" s="1"/>
  <c r="H6" i="23"/>
  <c r="G11" i="25"/>
  <c r="H14" i="23"/>
  <c r="I7" i="24"/>
  <c r="I11" i="24" s="1"/>
  <c r="I17" i="24" s="1"/>
  <c r="H59" i="28"/>
  <c r="H60" i="28" s="1"/>
  <c r="F11" i="27"/>
  <c r="G80" i="28"/>
  <c r="K8" i="24" l="1"/>
  <c r="K20" i="25"/>
  <c r="K45" i="23" s="1"/>
  <c r="K6" i="25"/>
  <c r="K41" i="23" s="1"/>
  <c r="K7" i="23"/>
  <c r="K13" i="26" s="1"/>
  <c r="K14" i="26" s="1"/>
  <c r="K13" i="28" s="1"/>
  <c r="L5" i="24"/>
  <c r="K18" i="23"/>
  <c r="K24" i="23" s="1"/>
  <c r="K6" i="24"/>
  <c r="K8" i="25"/>
  <c r="K43" i="23" s="1"/>
  <c r="I12" i="23"/>
  <c r="H13" i="25"/>
  <c r="I23" i="23"/>
  <c r="I25" i="23" s="1"/>
  <c r="I64" i="28" s="1"/>
  <c r="H26" i="23"/>
  <c r="H21" i="26" s="1"/>
  <c r="H14" i="28" s="1"/>
  <c r="H63" i="28"/>
  <c r="H24" i="25"/>
  <c r="H8" i="23"/>
  <c r="H20" i="24" s="1"/>
  <c r="J11" i="24"/>
  <c r="J17" i="24" s="1"/>
  <c r="I19" i="23"/>
  <c r="I20" i="23" s="1"/>
  <c r="J46" i="23"/>
  <c r="J7" i="25"/>
  <c r="J42" i="23" s="1"/>
  <c r="J19" i="25"/>
  <c r="J44" i="23" s="1"/>
  <c r="I58" i="28"/>
  <c r="H82" i="27"/>
  <c r="H96" i="27" s="1"/>
  <c r="H28" i="25"/>
  <c r="F12" i="27"/>
  <c r="J17" i="23" l="1"/>
  <c r="I12" i="25"/>
  <c r="I27" i="23"/>
  <c r="L7" i="23"/>
  <c r="L13" i="26" s="1"/>
  <c r="L14" i="26" s="1"/>
  <c r="L13" i="28" s="1"/>
  <c r="M5" i="24"/>
  <c r="L8" i="25"/>
  <c r="L43" i="23" s="1"/>
  <c r="L6" i="24"/>
  <c r="L20" i="25"/>
  <c r="L45" i="23" s="1"/>
  <c r="L8" i="24"/>
  <c r="L18" i="23"/>
  <c r="L24" i="23" s="1"/>
  <c r="L6" i="25"/>
  <c r="L41" i="23" s="1"/>
  <c r="K46" i="23"/>
  <c r="H78" i="27"/>
  <c r="H5" i="26"/>
  <c r="H79" i="28" s="1"/>
  <c r="H80" i="28" s="1"/>
  <c r="H9" i="23"/>
  <c r="K7" i="25"/>
  <c r="K42" i="23" s="1"/>
  <c r="K19" i="25"/>
  <c r="K44" i="23" s="1"/>
  <c r="I13" i="23"/>
  <c r="I19" i="24" s="1"/>
  <c r="K7" i="24"/>
  <c r="K11" i="24" s="1"/>
  <c r="K17" i="24" s="1"/>
  <c r="J10" i="26"/>
  <c r="I59" i="28"/>
  <c r="I60" i="28" s="1"/>
  <c r="F15" i="27"/>
  <c r="D46" i="27"/>
  <c r="L19" i="25" l="1"/>
  <c r="L44" i="23" s="1"/>
  <c r="L7" i="25"/>
  <c r="L42" i="23" s="1"/>
  <c r="K10" i="26"/>
  <c r="L46" i="23"/>
  <c r="I14" i="23"/>
  <c r="M6" i="24"/>
  <c r="M8" i="25"/>
  <c r="M43" i="23" s="1"/>
  <c r="M7" i="23"/>
  <c r="M13" i="26" s="1"/>
  <c r="M14" i="26" s="1"/>
  <c r="M13" i="28" s="1"/>
  <c r="N5" i="24"/>
  <c r="M8" i="24"/>
  <c r="M18" i="23"/>
  <c r="M24" i="23" s="1"/>
  <c r="M20" i="25"/>
  <c r="M45" i="23" s="1"/>
  <c r="M6" i="25"/>
  <c r="M41" i="23" s="1"/>
  <c r="L7" i="24"/>
  <c r="L11" i="24" s="1"/>
  <c r="L17" i="24" s="1"/>
  <c r="I24" i="25"/>
  <c r="I63" i="28"/>
  <c r="J23" i="23"/>
  <c r="J25" i="23" s="1"/>
  <c r="J64" i="28" s="1"/>
  <c r="I26" i="23"/>
  <c r="I21" i="26" s="1"/>
  <c r="I14" i="28" s="1"/>
  <c r="H11" i="25"/>
  <c r="I6" i="23"/>
  <c r="J19" i="23"/>
  <c r="J20" i="23" s="1"/>
  <c r="I82" i="27"/>
  <c r="I96" i="27" s="1"/>
  <c r="I28" i="25"/>
  <c r="J58" i="28"/>
  <c r="D72" i="27"/>
  <c r="D48" i="27"/>
  <c r="F17" i="27"/>
  <c r="J12" i="25" l="1"/>
  <c r="K17" i="23"/>
  <c r="J27" i="23"/>
  <c r="M7" i="25"/>
  <c r="M42" i="23" s="1"/>
  <c r="M19" i="25"/>
  <c r="M44" i="23" s="1"/>
  <c r="M46" i="23" s="1"/>
  <c r="J12" i="23"/>
  <c r="I13" i="25"/>
  <c r="I9" i="23"/>
  <c r="I8" i="23"/>
  <c r="I20" i="24" s="1"/>
  <c r="N7" i="24"/>
  <c r="N8" i="25"/>
  <c r="N43" i="23" s="1"/>
  <c r="N18" i="23"/>
  <c r="N24" i="23" s="1"/>
  <c r="N6" i="25"/>
  <c r="N41" i="23" s="1"/>
  <c r="N7" i="23"/>
  <c r="N13" i="26" s="1"/>
  <c r="N14" i="26" s="1"/>
  <c r="N13" i="28" s="1"/>
  <c r="N8" i="24"/>
  <c r="N6" i="24"/>
  <c r="N20" i="25"/>
  <c r="N45" i="23" s="1"/>
  <c r="L10" i="26"/>
  <c r="M7" i="24"/>
  <c r="M11" i="24" s="1"/>
  <c r="M17" i="24" s="1"/>
  <c r="J59" i="28"/>
  <c r="J60" i="28" s="1"/>
  <c r="D74" i="27"/>
  <c r="D33" i="25"/>
  <c r="F33" i="25" s="1"/>
  <c r="F38" i="23" s="1"/>
  <c r="G35" i="23" s="1"/>
  <c r="F18" i="27"/>
  <c r="D49" i="27"/>
  <c r="M10" i="26" l="1"/>
  <c r="J13" i="23"/>
  <c r="J19" i="24" s="1"/>
  <c r="J14" i="23"/>
  <c r="N11" i="24"/>
  <c r="J26" i="23"/>
  <c r="J21" i="26" s="1"/>
  <c r="J14" i="28" s="1"/>
  <c r="J24" i="25"/>
  <c r="J63" i="28"/>
  <c r="K23" i="23"/>
  <c r="K25" i="23" s="1"/>
  <c r="K64" i="28" s="1"/>
  <c r="I78" i="27"/>
  <c r="I79" i="27" s="1"/>
  <c r="I5" i="26"/>
  <c r="I79" i="28" s="1"/>
  <c r="I80" i="28" s="1"/>
  <c r="K19" i="23"/>
  <c r="K20" i="23" s="1"/>
  <c r="N19" i="25"/>
  <c r="N44" i="23" s="1"/>
  <c r="N7" i="25"/>
  <c r="N42" i="23" s="1"/>
  <c r="N46" i="23" s="1"/>
  <c r="N10" i="26" s="1"/>
  <c r="I11" i="25"/>
  <c r="J6" i="23"/>
  <c r="J28" i="25"/>
  <c r="J82" i="27"/>
  <c r="J96" i="27" s="1"/>
  <c r="K58" i="28"/>
  <c r="D15" i="25"/>
  <c r="F15" i="25" s="1"/>
  <c r="H79" i="27"/>
  <c r="G79" i="27"/>
  <c r="D43" i="27"/>
  <c r="D41" i="27" s="1"/>
  <c r="C43" i="27"/>
  <c r="C41" i="27" s="1"/>
  <c r="C60" i="27" s="1" a="1"/>
  <c r="N17" i="24" l="1"/>
  <c r="L17" i="23"/>
  <c r="K12" i="25"/>
  <c r="J13" i="25"/>
  <c r="K12" i="23"/>
  <c r="J8" i="23"/>
  <c r="J20" i="24" s="1"/>
  <c r="K27" i="23"/>
  <c r="K59" i="28"/>
  <c r="K60" i="28" s="1"/>
  <c r="F16" i="25"/>
  <c r="G15" i="25"/>
  <c r="H15" i="25" s="1"/>
  <c r="I15" i="25" s="1"/>
  <c r="J15" i="25" s="1"/>
  <c r="K15" i="25" s="1"/>
  <c r="L15" i="25" s="1"/>
  <c r="M15" i="25" s="1"/>
  <c r="N15" i="25" s="1"/>
  <c r="C62" i="27"/>
  <c r="F89" i="27"/>
  <c r="F91" i="27" s="1"/>
  <c r="E29" i="25"/>
  <c r="F32" i="23" s="1"/>
  <c r="F29" i="25" l="1"/>
  <c r="F31" i="25" s="1"/>
  <c r="F34" i="25" s="1"/>
  <c r="F36" i="25" s="1"/>
  <c r="J78" i="27"/>
  <c r="J79" i="27" s="1"/>
  <c r="J5" i="26"/>
  <c r="J79" i="28" s="1"/>
  <c r="J80" i="28" s="1"/>
  <c r="J9" i="23"/>
  <c r="L19" i="23"/>
  <c r="L20" i="23" s="1"/>
  <c r="K26" i="23"/>
  <c r="K21" i="26" s="1"/>
  <c r="K14" i="28" s="1"/>
  <c r="K63" i="28"/>
  <c r="K24" i="25"/>
  <c r="L23" i="23"/>
  <c r="L25" i="23" s="1"/>
  <c r="L64" i="28" s="1"/>
  <c r="K13" i="23"/>
  <c r="K19" i="24" s="1"/>
  <c r="K14" i="23"/>
  <c r="L58" i="28"/>
  <c r="K28" i="25"/>
  <c r="K82" i="27"/>
  <c r="K96" i="27" s="1"/>
  <c r="F56" i="27"/>
  <c r="F58" i="27"/>
  <c r="F55" i="27"/>
  <c r="F59" i="27"/>
  <c r="F61" i="27"/>
  <c r="F57" i="27"/>
  <c r="F60" i="27"/>
  <c r="G30" i="23" l="1"/>
  <c r="G31" i="23" s="1"/>
  <c r="G36" i="23" s="1"/>
  <c r="M17" i="23"/>
  <c r="L12" i="25"/>
  <c r="L27" i="23"/>
  <c r="L12" i="23"/>
  <c r="K13" i="25"/>
  <c r="J11" i="25"/>
  <c r="K6" i="23"/>
  <c r="L59" i="28"/>
  <c r="L60" i="28"/>
  <c r="F62" i="27"/>
  <c r="G32" i="23" l="1"/>
  <c r="H30" i="23" s="1"/>
  <c r="H31" i="23" s="1"/>
  <c r="H36" i="23" s="1"/>
  <c r="L13" i="23"/>
  <c r="L19" i="24" s="1"/>
  <c r="K8" i="23"/>
  <c r="K20" i="24" s="1"/>
  <c r="L63" i="28"/>
  <c r="L26" i="23"/>
  <c r="L21" i="26" s="1"/>
  <c r="L14" i="28" s="1"/>
  <c r="L24" i="25"/>
  <c r="M23" i="23"/>
  <c r="M25" i="23" s="1"/>
  <c r="M64" i="28" s="1"/>
  <c r="M19" i="23"/>
  <c r="M20" i="23" s="1"/>
  <c r="M27" i="23" s="1"/>
  <c r="L28" i="25"/>
  <c r="L82" i="27"/>
  <c r="L96" i="27" s="1"/>
  <c r="M58" i="28"/>
  <c r="G81" i="27" l="1"/>
  <c r="G89" i="27" s="1"/>
  <c r="G29" i="25"/>
  <c r="M24" i="25"/>
  <c r="M63" i="28"/>
  <c r="N23" i="23"/>
  <c r="M26" i="23"/>
  <c r="M21" i="26" s="1"/>
  <c r="M14" i="28" s="1"/>
  <c r="N17" i="23"/>
  <c r="M12" i="25"/>
  <c r="K78" i="27"/>
  <c r="K79" i="27" s="1"/>
  <c r="K5" i="26"/>
  <c r="K79" i="28" s="1"/>
  <c r="K80" i="28" s="1"/>
  <c r="K9" i="23"/>
  <c r="L14" i="23"/>
  <c r="M59" i="28"/>
  <c r="M60" i="28" s="1"/>
  <c r="H32" i="23"/>
  <c r="N25" i="23" l="1"/>
  <c r="N19" i="23"/>
  <c r="N20" i="23"/>
  <c r="L13" i="25"/>
  <c r="M12" i="23"/>
  <c r="L6" i="23"/>
  <c r="K11" i="25"/>
  <c r="N58" i="28"/>
  <c r="M28" i="25"/>
  <c r="M82" i="27"/>
  <c r="M96" i="27" s="1"/>
  <c r="H81" i="27"/>
  <c r="H89" i="27" s="1"/>
  <c r="H29" i="25"/>
  <c r="I30" i="23"/>
  <c r="N64" i="28" l="1"/>
  <c r="M13" i="23"/>
  <c r="M19" i="24" s="1"/>
  <c r="M14" i="23"/>
  <c r="L8" i="23"/>
  <c r="L20" i="24" s="1"/>
  <c r="N12" i="25"/>
  <c r="N27" i="23"/>
  <c r="N59" i="28"/>
  <c r="N60" i="28"/>
  <c r="I31" i="23"/>
  <c r="I36" i="23" s="1"/>
  <c r="N24" i="25" l="1"/>
  <c r="N63" i="28"/>
  <c r="N26" i="23"/>
  <c r="L78" i="27"/>
  <c r="L79" i="27" s="1"/>
  <c r="L5" i="26"/>
  <c r="L79" i="28" s="1"/>
  <c r="L80" i="28" s="1"/>
  <c r="L9" i="23"/>
  <c r="M13" i="25"/>
  <c r="N12" i="23"/>
  <c r="N82" i="27"/>
  <c r="N28" i="25"/>
  <c r="I32" i="23"/>
  <c r="N21" i="26" l="1"/>
  <c r="M6" i="23"/>
  <c r="L11" i="25"/>
  <c r="N13" i="23"/>
  <c r="N19" i="24" s="1"/>
  <c r="N96" i="27"/>
  <c r="I81" i="27"/>
  <c r="I89" i="27" s="1"/>
  <c r="I29" i="25"/>
  <c r="J30" i="23"/>
  <c r="N14" i="28" l="1"/>
  <c r="N14" i="23"/>
  <c r="N13" i="25" s="1"/>
  <c r="M8" i="23"/>
  <c r="M20" i="24" s="1"/>
  <c r="J31" i="23"/>
  <c r="J36" i="23" s="1"/>
  <c r="M5" i="26" l="1"/>
  <c r="M79" i="28" s="1"/>
  <c r="M80" i="28" s="1"/>
  <c r="M78" i="27"/>
  <c r="M79" i="27" s="1"/>
  <c r="M9" i="23"/>
  <c r="J32" i="23"/>
  <c r="J81" i="27" s="1"/>
  <c r="J89" i="27" s="1"/>
  <c r="M11" i="25" l="1"/>
  <c r="N6" i="23"/>
  <c r="K30" i="23"/>
  <c r="K31" i="23" s="1"/>
  <c r="K36" i="23" s="1"/>
  <c r="J29" i="25"/>
  <c r="N9" i="23" l="1"/>
  <c r="N11" i="25" s="1"/>
  <c r="N8" i="23"/>
  <c r="K32" i="23"/>
  <c r="K29" i="25" s="1"/>
  <c r="N20" i="24" l="1"/>
  <c r="K81" i="27"/>
  <c r="K89" i="27" s="1"/>
  <c r="L30" i="23"/>
  <c r="L31" i="23" s="1"/>
  <c r="L36" i="23" s="1"/>
  <c r="N5" i="26" l="1"/>
  <c r="N79" i="28" s="1"/>
  <c r="N78" i="27"/>
  <c r="N79" i="27" s="1"/>
  <c r="L32" i="23"/>
  <c r="L81" i="27" s="1"/>
  <c r="L89" i="27" s="1"/>
  <c r="N80" i="28" l="1"/>
  <c r="L29" i="25"/>
  <c r="M30" i="23"/>
  <c r="M31" i="23" s="1"/>
  <c r="M36" i="23" s="1"/>
  <c r="M32" i="23" l="1"/>
  <c r="M81" i="27" l="1"/>
  <c r="M89" i="27" s="1"/>
  <c r="M29" i="25"/>
  <c r="N30" i="23"/>
  <c r="N31" i="23" l="1"/>
  <c r="N36" i="23" l="1"/>
  <c r="N32" i="23"/>
  <c r="N81" i="27" l="1"/>
  <c r="N89" i="27" s="1"/>
  <c r="N29" i="25"/>
  <c r="G5" i="25" l="1"/>
  <c r="H5" i="25"/>
  <c r="I5" i="25"/>
  <c r="J5" i="25"/>
  <c r="K5" i="25"/>
  <c r="L5" i="25"/>
  <c r="M5" i="25"/>
  <c r="N5" i="25"/>
  <c r="G9" i="25"/>
  <c r="H9" i="25"/>
  <c r="I9" i="25"/>
  <c r="J9" i="25"/>
  <c r="K9" i="25"/>
  <c r="L9" i="25"/>
  <c r="M9" i="25"/>
  <c r="N9" i="25"/>
  <c r="G16" i="25"/>
  <c r="H16" i="25"/>
  <c r="I16" i="25"/>
  <c r="J16" i="25"/>
  <c r="K16" i="25"/>
  <c r="L16" i="25"/>
  <c r="M16" i="25"/>
  <c r="N16" i="25"/>
  <c r="G18" i="25"/>
  <c r="H18" i="25"/>
  <c r="I18" i="25"/>
  <c r="J18" i="25"/>
  <c r="K18" i="25"/>
  <c r="L18" i="25"/>
  <c r="M18" i="25"/>
  <c r="N18" i="25"/>
  <c r="G21" i="25"/>
  <c r="H21" i="25"/>
  <c r="I21" i="25"/>
  <c r="J21" i="25"/>
  <c r="K21" i="25"/>
  <c r="L21" i="25"/>
  <c r="M21" i="25"/>
  <c r="N21" i="25"/>
  <c r="G25" i="25"/>
  <c r="H25" i="25"/>
  <c r="I25" i="25"/>
  <c r="J25" i="25"/>
  <c r="K25" i="25"/>
  <c r="L25" i="25"/>
  <c r="M25" i="25"/>
  <c r="N25" i="25"/>
  <c r="G26" i="25"/>
  <c r="H26" i="25"/>
  <c r="I26" i="25"/>
  <c r="J26" i="25"/>
  <c r="K26" i="25"/>
  <c r="L26" i="25"/>
  <c r="M26" i="25"/>
  <c r="N26" i="25"/>
  <c r="G27" i="25"/>
  <c r="H27" i="25"/>
  <c r="I27" i="25"/>
  <c r="J27" i="25"/>
  <c r="K27" i="25"/>
  <c r="L27" i="25"/>
  <c r="M27" i="25"/>
  <c r="N27" i="25"/>
  <c r="G31" i="25"/>
  <c r="H31" i="25"/>
  <c r="I31" i="25"/>
  <c r="J31" i="25"/>
  <c r="K31" i="25"/>
  <c r="L31" i="25"/>
  <c r="M31" i="25"/>
  <c r="N31" i="25"/>
  <c r="G33" i="25"/>
  <c r="H33" i="25"/>
  <c r="I33" i="25"/>
  <c r="J33" i="25"/>
  <c r="K33" i="25"/>
  <c r="L33" i="25"/>
  <c r="M33" i="25"/>
  <c r="N33" i="25"/>
  <c r="G34" i="25"/>
  <c r="H34" i="25"/>
  <c r="I34" i="25"/>
  <c r="J34" i="25"/>
  <c r="K34" i="25"/>
  <c r="L34" i="25"/>
  <c r="M34" i="25"/>
  <c r="N34" i="25"/>
  <c r="G36" i="25"/>
  <c r="H36" i="25"/>
  <c r="I36" i="25"/>
  <c r="J36" i="25"/>
  <c r="K36" i="25"/>
  <c r="L36" i="25"/>
  <c r="M36" i="25"/>
  <c r="N36" i="25"/>
  <c r="H35" i="23"/>
  <c r="I35" i="23"/>
  <c r="J35" i="23"/>
  <c r="K35" i="23"/>
  <c r="L35" i="23"/>
  <c r="M35" i="23"/>
  <c r="N35" i="23"/>
  <c r="G37" i="23"/>
  <c r="H37" i="23"/>
  <c r="I37" i="23"/>
  <c r="J37" i="23"/>
  <c r="K37" i="23"/>
  <c r="L37" i="23"/>
  <c r="M37" i="23"/>
  <c r="N37" i="23"/>
  <c r="G38" i="23"/>
  <c r="H38" i="23"/>
  <c r="I38" i="23"/>
  <c r="J38" i="23"/>
  <c r="K38" i="23"/>
  <c r="L38" i="23"/>
  <c r="M38" i="23"/>
  <c r="N38" i="23"/>
  <c r="G6" i="26"/>
  <c r="H6" i="26"/>
  <c r="I6" i="26"/>
  <c r="J6" i="26"/>
  <c r="K6" i="26"/>
  <c r="L6" i="26"/>
  <c r="M6" i="26"/>
  <c r="N6" i="26"/>
  <c r="G7" i="26"/>
  <c r="H7" i="26"/>
  <c r="I7" i="26"/>
  <c r="J7" i="26"/>
  <c r="K7" i="26"/>
  <c r="L7" i="26"/>
  <c r="M7" i="26"/>
  <c r="N7" i="26"/>
  <c r="G11" i="26"/>
  <c r="H11" i="26"/>
  <c r="I11" i="26"/>
  <c r="J11" i="26"/>
  <c r="K11" i="26"/>
  <c r="L11" i="26"/>
  <c r="M11" i="26"/>
  <c r="N11" i="26"/>
  <c r="G16" i="26"/>
  <c r="H16" i="26"/>
  <c r="I16" i="26"/>
  <c r="J16" i="26"/>
  <c r="K16" i="26"/>
  <c r="L16" i="26"/>
  <c r="M16" i="26"/>
  <c r="N16" i="26"/>
  <c r="G18" i="26"/>
  <c r="H18" i="26"/>
  <c r="I18" i="26"/>
  <c r="J18" i="26"/>
  <c r="K18" i="26"/>
  <c r="L18" i="26"/>
  <c r="M18" i="26"/>
  <c r="N18" i="26"/>
  <c r="G19" i="26"/>
  <c r="H19" i="26"/>
  <c r="I19" i="26"/>
  <c r="J19" i="26"/>
  <c r="K19" i="26"/>
  <c r="L19" i="26"/>
  <c r="M19" i="26"/>
  <c r="N19" i="26"/>
  <c r="G20" i="26"/>
  <c r="H20" i="26"/>
  <c r="I20" i="26"/>
  <c r="J20" i="26"/>
  <c r="K20" i="26"/>
  <c r="L20" i="26"/>
  <c r="M20" i="26"/>
  <c r="N20" i="26"/>
  <c r="G22" i="26"/>
  <c r="H22" i="26"/>
  <c r="I22" i="26"/>
  <c r="J22" i="26"/>
  <c r="K22" i="26"/>
  <c r="L22" i="26"/>
  <c r="M22" i="26"/>
  <c r="N22" i="26"/>
  <c r="H24" i="26"/>
  <c r="I24" i="26"/>
  <c r="J24" i="26"/>
  <c r="K24" i="26"/>
  <c r="L24" i="26"/>
  <c r="M24" i="26"/>
  <c r="N24" i="26"/>
  <c r="G25" i="26"/>
  <c r="H25" i="26"/>
  <c r="I25" i="26"/>
  <c r="J25" i="26"/>
  <c r="K25" i="26"/>
  <c r="L25" i="26"/>
  <c r="M25" i="26"/>
  <c r="N25" i="26"/>
  <c r="G26" i="26"/>
  <c r="H26" i="26"/>
  <c r="I26" i="26"/>
  <c r="J26" i="26"/>
  <c r="K26" i="26"/>
  <c r="L26" i="26"/>
  <c r="M26" i="26"/>
  <c r="N26" i="26"/>
  <c r="H11" i="28"/>
  <c r="I11" i="28"/>
  <c r="J11" i="28"/>
  <c r="K11" i="28"/>
  <c r="L11" i="28"/>
  <c r="M11" i="28"/>
  <c r="N11" i="28"/>
  <c r="G12" i="28"/>
  <c r="H12" i="28"/>
  <c r="I12" i="28"/>
  <c r="J12" i="28"/>
  <c r="K12" i="28"/>
  <c r="L12" i="28"/>
  <c r="M12" i="28"/>
  <c r="N12" i="28"/>
  <c r="G15" i="28"/>
  <c r="H15" i="28"/>
  <c r="I15" i="28"/>
  <c r="J15" i="28"/>
  <c r="K15" i="28"/>
  <c r="L15" i="28"/>
  <c r="M15" i="28"/>
  <c r="N15" i="28"/>
  <c r="H19" i="28"/>
  <c r="I19" i="28"/>
  <c r="J19" i="28"/>
  <c r="K19" i="28"/>
  <c r="L19" i="28"/>
  <c r="M19" i="28"/>
  <c r="N19" i="28"/>
  <c r="H20" i="28"/>
  <c r="I20" i="28"/>
  <c r="J20" i="28"/>
  <c r="K20" i="28"/>
  <c r="L20" i="28"/>
  <c r="M20" i="28"/>
  <c r="N20" i="28"/>
  <c r="H21" i="28"/>
  <c r="I21" i="28"/>
  <c r="J21" i="28"/>
  <c r="K21" i="28"/>
  <c r="L21" i="28"/>
  <c r="M21" i="28"/>
  <c r="N21" i="28"/>
  <c r="G22" i="28"/>
  <c r="H22" i="28"/>
  <c r="I22" i="28"/>
  <c r="J22" i="28"/>
  <c r="K22" i="28"/>
  <c r="L22" i="28"/>
  <c r="M22" i="28"/>
  <c r="N22" i="28"/>
  <c r="H25" i="28"/>
  <c r="I25" i="28"/>
  <c r="J25" i="28"/>
  <c r="K25" i="28"/>
  <c r="L25" i="28"/>
  <c r="M25" i="28"/>
  <c r="N25" i="28"/>
  <c r="G26" i="28"/>
  <c r="H26" i="28"/>
  <c r="I26" i="28"/>
  <c r="J26" i="28"/>
  <c r="K26" i="28"/>
  <c r="L26" i="28"/>
  <c r="M26" i="28"/>
  <c r="N26" i="28"/>
  <c r="G27" i="28"/>
  <c r="H27" i="28"/>
  <c r="I27" i="28"/>
  <c r="J27" i="28"/>
  <c r="K27" i="28"/>
  <c r="L27" i="28"/>
  <c r="M27" i="28"/>
  <c r="N27" i="28"/>
  <c r="G28" i="28"/>
  <c r="H28" i="28"/>
  <c r="I28" i="28"/>
  <c r="J28" i="28"/>
  <c r="K28" i="28"/>
  <c r="L28" i="28"/>
  <c r="M28" i="28"/>
  <c r="N28" i="28"/>
  <c r="G30" i="28"/>
  <c r="H30" i="28"/>
  <c r="I30" i="28"/>
  <c r="J30" i="28"/>
  <c r="K30" i="28"/>
  <c r="L30" i="28"/>
  <c r="M30" i="28"/>
  <c r="N30" i="28"/>
  <c r="H33" i="28"/>
  <c r="I33" i="28"/>
  <c r="J33" i="28"/>
  <c r="K33" i="28"/>
  <c r="L33" i="28"/>
  <c r="M33" i="28"/>
  <c r="N33" i="28"/>
  <c r="H34" i="28"/>
  <c r="I34" i="28"/>
  <c r="J34" i="28"/>
  <c r="K34" i="28"/>
  <c r="L34" i="28"/>
  <c r="M34" i="28"/>
  <c r="N34" i="28"/>
  <c r="G35" i="28"/>
  <c r="H35" i="28"/>
  <c r="I35" i="28"/>
  <c r="J35" i="28"/>
  <c r="K35" i="28"/>
  <c r="L35" i="28"/>
  <c r="M35" i="28"/>
  <c r="N35" i="28"/>
  <c r="G36" i="28"/>
  <c r="H36" i="28"/>
  <c r="I36" i="28"/>
  <c r="J36" i="28"/>
  <c r="K36" i="28"/>
  <c r="L36" i="28"/>
  <c r="M36" i="28"/>
  <c r="N36" i="28"/>
  <c r="G37" i="28"/>
  <c r="H37" i="28"/>
  <c r="I37" i="28"/>
  <c r="J37" i="28"/>
  <c r="K37" i="28"/>
  <c r="L37" i="28"/>
  <c r="M37" i="28"/>
  <c r="N37" i="28"/>
  <c r="G39" i="28"/>
  <c r="H39" i="28"/>
  <c r="I39" i="28"/>
  <c r="J39" i="28"/>
  <c r="K39" i="28"/>
  <c r="L39" i="28"/>
  <c r="M39" i="28"/>
  <c r="N39" i="28"/>
  <c r="H42" i="28"/>
  <c r="I42" i="28"/>
  <c r="J42" i="28"/>
  <c r="K42" i="28"/>
  <c r="L42" i="28"/>
  <c r="M42" i="28"/>
  <c r="N42" i="28"/>
  <c r="H43" i="28"/>
  <c r="I43" i="28"/>
  <c r="J43" i="28"/>
  <c r="K43" i="28"/>
  <c r="L43" i="28"/>
  <c r="M43" i="28"/>
  <c r="N43" i="28"/>
  <c r="G44" i="28"/>
  <c r="H44" i="28"/>
  <c r="I44" i="28"/>
  <c r="J44" i="28"/>
  <c r="K44" i="28"/>
  <c r="L44" i="28"/>
  <c r="M44" i="28"/>
  <c r="N44" i="28"/>
  <c r="G45" i="28"/>
  <c r="H45" i="28"/>
  <c r="I45" i="28"/>
  <c r="J45" i="28"/>
  <c r="K45" i="28"/>
  <c r="L45" i="28"/>
  <c r="M45" i="28"/>
  <c r="N45" i="28"/>
  <c r="G46" i="28"/>
  <c r="H46" i="28"/>
  <c r="I46" i="28"/>
  <c r="J46" i="28"/>
  <c r="K46" i="28"/>
  <c r="L46" i="28"/>
  <c r="M46" i="28"/>
  <c r="N46" i="28"/>
  <c r="G48" i="28"/>
  <c r="H48" i="28"/>
  <c r="I48" i="28"/>
  <c r="J48" i="28"/>
  <c r="K48" i="28"/>
  <c r="L48" i="28"/>
  <c r="M48" i="28"/>
  <c r="N48" i="28"/>
  <c r="H51" i="28"/>
  <c r="I51" i="28"/>
  <c r="J51" i="28"/>
  <c r="K51" i="28"/>
  <c r="L51" i="28"/>
  <c r="M51" i="28"/>
  <c r="N51" i="28"/>
  <c r="H52" i="28"/>
  <c r="I52" i="28"/>
  <c r="J52" i="28"/>
  <c r="K52" i="28"/>
  <c r="L52" i="28"/>
  <c r="M52" i="28"/>
  <c r="N52" i="28"/>
  <c r="G53" i="28"/>
  <c r="H53" i="28"/>
  <c r="I53" i="28"/>
  <c r="J53" i="28"/>
  <c r="K53" i="28"/>
  <c r="L53" i="28"/>
  <c r="M53" i="28"/>
  <c r="N53" i="28"/>
  <c r="G54" i="28"/>
  <c r="H54" i="28"/>
  <c r="I54" i="28"/>
  <c r="J54" i="28"/>
  <c r="K54" i="28"/>
  <c r="L54" i="28"/>
  <c r="M54" i="28"/>
  <c r="N54" i="28"/>
  <c r="G55" i="28"/>
  <c r="H55" i="28"/>
  <c r="I55" i="28"/>
  <c r="J55" i="28"/>
  <c r="K55" i="28"/>
  <c r="L55" i="28"/>
  <c r="M55" i="28"/>
  <c r="N55" i="28"/>
  <c r="G67" i="28"/>
  <c r="H67" i="28"/>
  <c r="I67" i="28"/>
  <c r="J67" i="28"/>
  <c r="K67" i="28"/>
  <c r="L67" i="28"/>
  <c r="M67" i="28"/>
  <c r="N67" i="28"/>
  <c r="G68" i="28"/>
  <c r="H68" i="28"/>
  <c r="I68" i="28"/>
  <c r="J68" i="28"/>
  <c r="K68" i="28"/>
  <c r="L68" i="28"/>
  <c r="M68" i="28"/>
  <c r="N68" i="28"/>
  <c r="H71" i="28"/>
  <c r="I71" i="28"/>
  <c r="J71" i="28"/>
  <c r="K71" i="28"/>
  <c r="L71" i="28"/>
  <c r="M71" i="28"/>
  <c r="N71" i="28"/>
  <c r="G72" i="28"/>
  <c r="H72" i="28"/>
  <c r="I72" i="28"/>
  <c r="J72" i="28"/>
  <c r="K72" i="28"/>
  <c r="L72" i="28"/>
  <c r="M72" i="28"/>
  <c r="N72" i="28"/>
  <c r="G73" i="28"/>
  <c r="H73" i="28"/>
  <c r="I73" i="28"/>
  <c r="J73" i="28"/>
  <c r="K73" i="28"/>
  <c r="L73" i="28"/>
  <c r="M73" i="28"/>
  <c r="N73" i="28"/>
  <c r="G74" i="28"/>
  <c r="H74" i="28"/>
  <c r="I74" i="28"/>
  <c r="J74" i="28"/>
  <c r="K74" i="28"/>
  <c r="L74" i="28"/>
  <c r="M74" i="28"/>
  <c r="N74" i="28"/>
  <c r="G76" i="28"/>
  <c r="H76" i="28"/>
  <c r="I76" i="28"/>
  <c r="J76" i="28"/>
  <c r="K76" i="28"/>
  <c r="L76" i="28"/>
  <c r="M76" i="28"/>
  <c r="N76" i="28"/>
  <c r="G81" i="28"/>
  <c r="H81" i="28"/>
  <c r="I81" i="28"/>
  <c r="J81" i="28"/>
  <c r="K81" i="28"/>
  <c r="L81" i="28"/>
  <c r="M81" i="28"/>
  <c r="N81" i="28"/>
  <c r="G82" i="28"/>
  <c r="H82" i="28"/>
  <c r="I82" i="28"/>
  <c r="J82" i="28"/>
  <c r="K82" i="28"/>
  <c r="L82" i="28"/>
  <c r="M82" i="28"/>
  <c r="N82" i="28"/>
  <c r="G84" i="28"/>
  <c r="H84" i="28"/>
  <c r="I84" i="28"/>
  <c r="J84" i="28"/>
  <c r="K84" i="28"/>
  <c r="L84" i="28"/>
  <c r="M84" i="28"/>
  <c r="N84" i="28"/>
  <c r="G85" i="28"/>
  <c r="H85" i="28"/>
  <c r="I85" i="28"/>
  <c r="J85" i="28"/>
  <c r="K85" i="28"/>
  <c r="L85" i="28"/>
  <c r="M85" i="28"/>
  <c r="N85" i="28"/>
  <c r="G86" i="28"/>
  <c r="H86" i="28"/>
  <c r="I86" i="28"/>
  <c r="J86" i="28"/>
  <c r="K86" i="28"/>
  <c r="L86" i="28"/>
  <c r="M86" i="28"/>
  <c r="N86" i="28"/>
  <c r="G87" i="28"/>
  <c r="H87" i="28"/>
  <c r="I87" i="28"/>
  <c r="J87" i="28"/>
  <c r="K87" i="28"/>
  <c r="L87" i="28"/>
  <c r="M87" i="28"/>
  <c r="N87" i="28"/>
  <c r="G88" i="28"/>
  <c r="H88" i="28"/>
  <c r="I88" i="28"/>
  <c r="J88" i="28"/>
  <c r="K88" i="28"/>
  <c r="L88" i="28"/>
  <c r="M88" i="28"/>
  <c r="N88" i="28"/>
  <c r="G12" i="24"/>
  <c r="H12" i="24"/>
  <c r="I12" i="24"/>
  <c r="J12" i="24"/>
  <c r="K12" i="24"/>
  <c r="L12" i="24"/>
  <c r="M12" i="24"/>
  <c r="N12" i="24"/>
  <c r="G13" i="24"/>
  <c r="H13" i="24"/>
  <c r="I13" i="24"/>
  <c r="J13" i="24"/>
  <c r="K13" i="24"/>
  <c r="L13" i="24"/>
  <c r="M13" i="24"/>
  <c r="N13" i="24"/>
  <c r="G14" i="24"/>
  <c r="H14" i="24"/>
  <c r="I14" i="24"/>
  <c r="J14" i="24"/>
  <c r="K14" i="24"/>
  <c r="L14" i="24"/>
  <c r="M14" i="24"/>
  <c r="N14" i="24"/>
  <c r="G15" i="24"/>
  <c r="H15" i="24"/>
  <c r="I15" i="24"/>
  <c r="J15" i="24"/>
  <c r="K15" i="24"/>
  <c r="L15" i="24"/>
  <c r="M15" i="24"/>
  <c r="N15" i="24"/>
  <c r="G80" i="27"/>
  <c r="H80" i="27"/>
  <c r="I80" i="27"/>
  <c r="J80" i="27"/>
  <c r="K80" i="27"/>
  <c r="L80" i="27"/>
  <c r="M80" i="27"/>
  <c r="N80" i="27"/>
  <c r="G83" i="27"/>
  <c r="H83" i="27"/>
  <c r="I83" i="27"/>
  <c r="J83" i="27"/>
  <c r="K83" i="27"/>
  <c r="L83" i="27"/>
  <c r="M83" i="27"/>
  <c r="N83" i="27"/>
  <c r="G84" i="27"/>
  <c r="H84" i="27"/>
  <c r="I84" i="27"/>
  <c r="J84" i="27"/>
  <c r="K84" i="27"/>
  <c r="L84" i="27"/>
  <c r="M84" i="27"/>
  <c r="N84" i="27"/>
  <c r="G90" i="27"/>
  <c r="H90" i="27"/>
  <c r="I90" i="27"/>
  <c r="J90" i="27"/>
  <c r="K90" i="27"/>
  <c r="L90" i="27"/>
  <c r="M90" i="27"/>
  <c r="N90" i="27"/>
  <c r="G91" i="27"/>
  <c r="H91" i="27"/>
  <c r="I91" i="27"/>
  <c r="J91" i="27"/>
  <c r="K91" i="27"/>
  <c r="L91" i="27"/>
  <c r="M91" i="27"/>
  <c r="N91" i="27"/>
  <c r="F92" i="27"/>
  <c r="F93" i="27"/>
  <c r="G97" i="27"/>
  <c r="H97" i="27"/>
  <c r="I97" i="27"/>
  <c r="J97" i="27"/>
  <c r="K97" i="27"/>
  <c r="L97" i="27"/>
  <c r="M97" i="27"/>
  <c r="N97" i="27"/>
  <c r="G98" i="27"/>
  <c r="H98" i="27"/>
  <c r="I98" i="27"/>
  <c r="J98" i="27"/>
  <c r="K98" i="27"/>
  <c r="L98" i="27"/>
  <c r="M98" i="27"/>
  <c r="N98" i="27"/>
  <c r="F99" i="27"/>
  <c r="F100" i="27"/>
  <c r="G103" i="27"/>
  <c r="H103" i="27"/>
  <c r="I103" i="27"/>
  <c r="J103" i="27"/>
  <c r="K103" i="27"/>
  <c r="L103" i="27"/>
  <c r="M103" i="27"/>
  <c r="N103" i="27"/>
  <c r="F104" i="27"/>
  <c r="F105" i="27"/>
  <c r="C110" i="2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<sst xmlns="http://schemas.openxmlformats.org/spreadsheetml/2006/main" count="424" uniqueCount="254">
  <si>
    <t>Features</t>
  </si>
  <si>
    <t>◦</t>
  </si>
  <si>
    <t>Model Details</t>
  </si>
  <si>
    <t>Units</t>
  </si>
  <si>
    <t>Analyst Name</t>
  </si>
  <si>
    <t>Circular Switch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</si>
  <si>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</si>
  <si>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</si>
  <si>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</si>
  <si>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</si>
  <si>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</si>
  <si>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</si>
  <si>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</si>
  <si>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Goodwill</t>
  </si>
  <si>
    <t>Depreciation</t>
  </si>
  <si>
    <t>Target</t>
  </si>
  <si>
    <t>Hist.</t>
  </si>
  <si>
    <t>Proj.</t>
  </si>
  <si>
    <t>SG&amp;A % sales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</si>
  <si>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</si>
  <si>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</si>
  <si>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</si>
  <si>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</si>
  <si>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</si>
  <si>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</si>
  <si>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>Payable days</t>
  </si>
  <si>
    <t>Beginning</t>
  </si>
  <si>
    <t xml:space="preserve"> Ending</t>
  </si>
  <si>
    <t>Equity</t>
  </si>
  <si>
    <t>Net income</t>
  </si>
  <si>
    <t>Operating working capital</t>
  </si>
  <si>
    <t xml:space="preserve"> OWC</t>
  </si>
  <si>
    <t>Beginning cash</t>
  </si>
  <si>
    <t>Net sales</t>
  </si>
  <si>
    <t>SG&amp;A</t>
  </si>
  <si>
    <t>Interest expense</t>
  </si>
  <si>
    <t>Provision for income taxes</t>
  </si>
  <si>
    <t>Cash</t>
  </si>
  <si>
    <t>Accounts receivable</t>
  </si>
  <si>
    <t>Inventories</t>
  </si>
  <si>
    <t>Other current assets</t>
  </si>
  <si>
    <t>PP&amp;E</t>
  </si>
  <si>
    <t>Intangible assets</t>
  </si>
  <si>
    <t>Revolver</t>
  </si>
  <si>
    <t>Accounts payable</t>
  </si>
  <si>
    <t>Balance?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</si>
  <si>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</si>
  <si>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</si>
  <si>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</si>
  <si>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</si>
  <si>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</si>
  <si>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</si>
  <si>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 xml:space="preserve"> Cash flow from financing activities</t>
  </si>
  <si>
    <t>Net cash flow</t>
  </si>
  <si>
    <t xml:space="preserve"> Ending cash</t>
  </si>
  <si>
    <t>Other LT assets</t>
  </si>
  <si>
    <t>Debt</t>
  </si>
  <si>
    <t>Other LT liabilities</t>
  </si>
  <si>
    <t>Income statement assumptions</t>
  </si>
  <si>
    <t>Inc (dec) in LT debt</t>
  </si>
  <si>
    <t>Key assumptions</t>
  </si>
  <si>
    <t>Historic EBITDA</t>
  </si>
  <si>
    <t>Acquisition EV</t>
  </si>
  <si>
    <t>Fees % EV</t>
  </si>
  <si>
    <t>Exit year</t>
  </si>
  <si>
    <t>Sources and uses</t>
  </si>
  <si>
    <t>Acquisition equity value</t>
  </si>
  <si>
    <t>Fees</t>
  </si>
  <si>
    <t xml:space="preserve"> Total uses</t>
  </si>
  <si>
    <t>Common equity</t>
  </si>
  <si>
    <t xml:space="preserve"> Total sources</t>
  </si>
  <si>
    <t>Spread</t>
  </si>
  <si>
    <t>Rate</t>
  </si>
  <si>
    <t>Ownership</t>
  </si>
  <si>
    <t>Mezzanine</t>
  </si>
  <si>
    <t>Equity purchase price</t>
  </si>
  <si>
    <t>Net identifable assets</t>
  </si>
  <si>
    <t xml:space="preserve"> Goodwill</t>
  </si>
  <si>
    <t>Accounting</t>
  </si>
  <si>
    <t>Financing</t>
  </si>
  <si>
    <t>Combo</t>
  </si>
  <si>
    <t>Beginning cash balance</t>
  </si>
  <si>
    <t>Cash flow from operations</t>
  </si>
  <si>
    <t>Cash flow from investing</t>
  </si>
  <si>
    <t>Mandatory repayment</t>
  </si>
  <si>
    <t>Mandatory repayments</t>
  </si>
  <si>
    <t>Beginning balance</t>
  </si>
  <si>
    <t>Accelerated repayment</t>
  </si>
  <si>
    <t xml:space="preserve"> Ending balance</t>
  </si>
  <si>
    <t>Cash flow</t>
  </si>
  <si>
    <t>Preference shares</t>
  </si>
  <si>
    <t>Issuance (repayment)</t>
  </si>
  <si>
    <t>Total interest expense</t>
  </si>
  <si>
    <t>Management</t>
  </si>
  <si>
    <t>Mandatory repayment assumptions</t>
  </si>
  <si>
    <t>Tax expense</t>
  </si>
  <si>
    <t>Credit ratios</t>
  </si>
  <si>
    <t>EBITDA</t>
  </si>
  <si>
    <t>EBITDA - capex</t>
  </si>
  <si>
    <t>Total debt</t>
  </si>
  <si>
    <t>Total debt / EBITDA</t>
  </si>
  <si>
    <t>Total debt / EBITDA - capex</t>
  </si>
  <si>
    <t>EBITDA / cash interest</t>
  </si>
  <si>
    <t>EBITDA - capex / cash interest</t>
  </si>
  <si>
    <t>Equity returns</t>
  </si>
  <si>
    <t>Year count</t>
  </si>
  <si>
    <t>Debt/EBITDA</t>
  </si>
  <si>
    <t>% total</t>
  </si>
  <si>
    <t>% cash sweep</t>
  </si>
  <si>
    <t>Enterprise value</t>
  </si>
  <si>
    <t>+ Cash</t>
  </si>
  <si>
    <t>- Preference shares</t>
  </si>
  <si>
    <t xml:space="preserve"> = Equity value</t>
  </si>
  <si>
    <t xml:space="preserve">Other LT assets amount </t>
  </si>
  <si>
    <t>Other LT liabilities amount</t>
  </si>
  <si>
    <t>LBO Model</t>
  </si>
  <si>
    <t>Acquisition date</t>
  </si>
  <si>
    <t>Last target year end</t>
  </si>
  <si>
    <t>Consolidation</t>
  </si>
  <si>
    <t>SOFR</t>
  </si>
  <si>
    <t>Synergies</t>
  </si>
  <si>
    <t>EBITDA post-synergies</t>
  </si>
  <si>
    <t>Entry EV/LTM EBITDA</t>
  </si>
  <si>
    <t>Other current liabilities</t>
  </si>
  <si>
    <t>Other current lia % sales</t>
  </si>
  <si>
    <t>Other current lia</t>
  </si>
  <si>
    <t>PIK dividends</t>
  </si>
  <si>
    <t>Ending</t>
  </si>
  <si>
    <t>Cumulative</t>
  </si>
  <si>
    <t>Financing package scenarios</t>
  </si>
  <si>
    <t>Operating profit</t>
  </si>
  <si>
    <t>Premium</t>
  </si>
  <si>
    <t>Dilution adjustment</t>
  </si>
  <si>
    <t>Diluted shares outstanding</t>
  </si>
  <si>
    <t>Instrument</t>
  </si>
  <si>
    <t>#</t>
  </si>
  <si>
    <t>Price</t>
  </si>
  <si>
    <t>Dilution</t>
  </si>
  <si>
    <t>Financing package options</t>
  </si>
  <si>
    <t>Package 1</t>
  </si>
  <si>
    <t>Package 2</t>
  </si>
  <si>
    <t>Selected package</t>
  </si>
  <si>
    <t>Entry</t>
  </si>
  <si>
    <t>Exit</t>
  </si>
  <si>
    <t>PE institution</t>
  </si>
  <si>
    <t>Cost of sales % sales</t>
  </si>
  <si>
    <t>Sales growth</t>
  </si>
  <si>
    <t>Intangibles amount</t>
  </si>
  <si>
    <t>PIK interest</t>
  </si>
  <si>
    <t xml:space="preserve">Mezzanine </t>
  </si>
  <si>
    <t xml:space="preserve">PE institution </t>
  </si>
  <si>
    <t>IRR</t>
  </si>
  <si>
    <t>Multiple of money</t>
  </si>
  <si>
    <t>Mezzanine debt</t>
  </si>
  <si>
    <t>- Total debt excl mezz</t>
  </si>
  <si>
    <t>Exit EV/LTM EBITDA</t>
  </si>
  <si>
    <t>Right of use assets</t>
  </si>
  <si>
    <t>Non-cash items</t>
  </si>
  <si>
    <t>Multiple stakeholder IRRs</t>
  </si>
  <si>
    <t>Calcuations</t>
  </si>
  <si>
    <t>Income statement</t>
  </si>
  <si>
    <t>Balance sheet</t>
  </si>
  <si>
    <t>Cashflow statement</t>
  </si>
  <si>
    <t>End</t>
  </si>
  <si>
    <t>© 2025 Financial Edge Training</t>
  </si>
  <si>
    <t>LBO</t>
  </si>
  <si>
    <t>Calculations</t>
  </si>
  <si>
    <t>Sensitivity table</t>
  </si>
  <si>
    <t>COGS</t>
  </si>
  <si>
    <t>Debt schedule</t>
  </si>
  <si>
    <t>Amount</t>
  </si>
  <si>
    <t>sources</t>
  </si>
  <si>
    <t>Fund IRR sensitivity to entry premium and synergy run-rate</t>
  </si>
  <si>
    <t>Entry premium</t>
  </si>
  <si>
    <t>Mezzanine warrant equity on exit</t>
  </si>
  <si>
    <t>Synergies as a % of last historical year sales</t>
  </si>
  <si>
    <t>Morrisons LBO</t>
  </si>
  <si>
    <t>Morrisons</t>
  </si>
  <si>
    <t>£ MM</t>
  </si>
  <si>
    <t>Share price (£)</t>
  </si>
  <si>
    <t>Pension deficit</t>
  </si>
  <si>
    <t>Basic shares outstanding (MM)</t>
  </si>
  <si>
    <t>Other expenses</t>
  </si>
  <si>
    <t>Net debt (incl lease)</t>
  </si>
  <si>
    <t>Sharesaver scheme</t>
  </si>
  <si>
    <t>LTIP</t>
  </si>
  <si>
    <t>Deferred share bonus</t>
  </si>
  <si>
    <t>Senior bonds</t>
  </si>
  <si>
    <t>Lease liabilities</t>
  </si>
  <si>
    <t>Lease CAPEX</t>
  </si>
  <si>
    <t>Lease interest</t>
  </si>
  <si>
    <t>Lease repayments</t>
  </si>
  <si>
    <t>Lease interest rate</t>
  </si>
  <si>
    <t>Short term debt</t>
  </si>
  <si>
    <t>Inc (dec) in short term debt</t>
  </si>
  <si>
    <t>Lease depreciation</t>
  </si>
  <si>
    <t>PPE depn % opening</t>
  </si>
  <si>
    <t>Lease depn % opening</t>
  </si>
  <si>
    <t>Lease capex % sales</t>
  </si>
  <si>
    <t>Repayment of lease liabilities net of interest</t>
  </si>
  <si>
    <t>Net interest expense</t>
  </si>
  <si>
    <t>Senior bond repayment as a % of principal</t>
  </si>
  <si>
    <t>Sweep switch</t>
  </si>
  <si>
    <t>Lease liability</t>
  </si>
  <si>
    <t>Lease liability interest</t>
  </si>
  <si>
    <t>Senior bond</t>
  </si>
  <si>
    <t>Amortization</t>
  </si>
  <si>
    <t xml:space="preserve">PP&amp;E </t>
  </si>
  <si>
    <t>Intangibles</t>
  </si>
  <si>
    <t>Amort % of opening</t>
  </si>
  <si>
    <t>Total cash interest cost</t>
  </si>
  <si>
    <t>Total interest costs</t>
  </si>
  <si>
    <t>Closing cash</t>
  </si>
  <si>
    <t>Opening cash</t>
  </si>
  <si>
    <t>Net cashflow</t>
  </si>
  <si>
    <t>Cash in debt vs CFS tab check</t>
  </si>
  <si>
    <t>Interest income</t>
  </si>
  <si>
    <t>Cash interest rate</t>
  </si>
  <si>
    <t>Net cash interest</t>
  </si>
  <si>
    <t>Maximum synergies achieved in year</t>
  </si>
  <si>
    <t>Maximum synergies</t>
  </si>
  <si>
    <t>Refinanced net debt (excl lease)</t>
  </si>
  <si>
    <t>LT Debt</t>
  </si>
  <si>
    <t xml:space="preserve"> Cash for debt repayment</t>
  </si>
  <si>
    <t xml:space="preserve"> Cash for revolver</t>
  </si>
  <si>
    <t xml:space="preserve"> Cash for accelerated payments</t>
  </si>
  <si>
    <t>Exit year flag</t>
  </si>
  <si>
    <t>Term loan B</t>
  </si>
  <si>
    <t>Subordinated loan</t>
  </si>
  <si>
    <t>Term loan B repayment as a % of principal</t>
  </si>
  <si>
    <t>Subordinated loan repayment as a % of principal</t>
  </si>
  <si>
    <t>Bank case sales growth</t>
  </si>
  <si>
    <t>Base case sales growth</t>
  </si>
  <si>
    <t>Bank case COS % sales</t>
  </si>
  <si>
    <t>Base case COS % sales</t>
  </si>
  <si>
    <t>% of total debt excl lease and mezz repaid</t>
  </si>
  <si>
    <t>Total debt excl lease and mezz</t>
  </si>
  <si>
    <t>IFRS leases</t>
  </si>
  <si>
    <t xml:space="preserve"> Total</t>
  </si>
  <si>
    <t xml:space="preserve"> Gross profit</t>
  </si>
  <si>
    <t xml:space="preserve"> Operating profit</t>
  </si>
  <si>
    <t xml:space="preserve"> Income before tax</t>
  </si>
  <si>
    <t xml:space="preserve"> Net income</t>
  </si>
  <si>
    <t xml:space="preserve"> EBITDA</t>
  </si>
  <si>
    <t xml:space="preserve"> Total current assets</t>
  </si>
  <si>
    <t xml:space="preserve"> Total assets</t>
  </si>
  <si>
    <t xml:space="preserve"> Total current liabilities</t>
  </si>
  <si>
    <t xml:space="preserve"> Total liabilities</t>
  </si>
  <si>
    <t xml:space="preserve"> Total liabilities and equity</t>
  </si>
  <si>
    <t>Scenario selected</t>
  </si>
  <si>
    <t>Acquisition share price (£)</t>
  </si>
  <si>
    <t>Maximum synergies as a % of LTM sales</t>
  </si>
  <si>
    <t>- Mezzanine debt</t>
  </si>
  <si>
    <t>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</si>
</sst>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  <numFmt numFmtId="179" formatCode="[=1]\ &quot;Bank case&quot;;[=2]\ \ &quot;Base case&quot;"/>
    <numFmt numFmtId="180" formatCode="#,##0.00_);\(#,##0.00\);0.00_);@_)"/>
    <numFmt numFmtId="181" formatCode="#,##0.0000_);\(#,##0.0000\);0.0000_);@_)"/>
  </numFmts>
  <fonts count="53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rgb="FF000000"/>
      <name val="Calibri"/>
      <family val="2"/>
      <scheme val="minor"/>
    </font>
    <font>
      <sz val="10"/>
      <color rgb="FF0000FF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5" fillId="0" borderId="0" applyFill="0" applyBorder="0" applyAlignment="0" applyProtection="0"/>
    <xf numFmtId="176" fontId="36" fillId="39" borderId="0" applyFill="0" applyBorder="0" applyAlignment="0" applyProtection="0">
      <alignment horizontal="center"/>
    </xf>
    <xf numFmtId="0" fontId="37" fillId="39" borderId="13" applyNumberFormat="0" applyBorder="0" applyAlignment="0" applyProtection="0">
      <alignment horizontal="center"/>
    </xf>
    <xf numFmtId="0" fontId="38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39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177" fontId="41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5" fontId="42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4" fontId="44" fillId="0" borderId="0"/>
    <xf numFmtId="0" fontId="45" fillId="0" borderId="0" applyFill="0" applyBorder="0" applyAlignment="0" applyProtection="0"/>
    <xf numFmtId="0" fontId="46" fillId="4" borderId="0" applyNumberFormat="0" applyFill="0" applyBorder="0" applyAlignment="0" applyProtection="0">
      <alignment horizontal="right"/>
    </xf>
  </cellStyleXfs>
  <cellXfs count="109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3" fillId="0" borderId="0" xfId="0" applyFont="1"/>
    <xf numFmtId="172" fontId="32" fillId="0" borderId="0" xfId="57" applyFon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32" fillId="0" borderId="0" xfId="58" applyNumberFormat="1" applyFill="1"/>
    <xf numFmtId="174" fontId="47" fillId="0" borderId="0" xfId="0" applyFont="1"/>
    <xf numFmtId="172" fontId="32" fillId="37" borderId="11" xfId="61" applyNumberFormat="1">
      <protection locked="0"/>
    </xf>
    <xf numFmtId="178" fontId="32" fillId="37" borderId="11" xfId="61" applyNumberFormat="1">
      <protection locked="0"/>
    </xf>
    <xf numFmtId="172" fontId="32" fillId="0" borderId="0" xfId="58" applyNumberFormat="1" applyFill="1"/>
    <xf numFmtId="174" fontId="48" fillId="0" borderId="0" xfId="0" applyFont="1"/>
    <xf numFmtId="171" fontId="0" fillId="0" borderId="0" xfId="70" applyFont="1"/>
    <xf numFmtId="171" fontId="0" fillId="0" borderId="0" xfId="70" applyFont="1" applyFill="1"/>
    <xf numFmtId="170" fontId="49" fillId="3" borderId="0" xfId="49" applyNumberFormat="1" applyFont="1" applyAlignment="1"/>
    <xf numFmtId="170" fontId="50" fillId="3" borderId="0" xfId="49" applyNumberFormat="1" applyFont="1" applyAlignment="1"/>
    <xf numFmtId="174" fontId="6" fillId="0" borderId="0" xfId="50" applyNumberFormat="1">
      <alignment horizontal="left" vertical="center"/>
    </xf>
    <xf numFmtId="174" fontId="43" fillId="0" borderId="0" xfId="0" applyFont="1" applyAlignment="1">
      <alignment horizontal="right"/>
    </xf>
    <xf numFmtId="174" fontId="43" fillId="0" borderId="0" xfId="0" applyFont="1" applyAlignment="1">
      <alignment horizontal="left"/>
    </xf>
    <xf numFmtId="172" fontId="29" fillId="2" borderId="0" xfId="57" applyFont="1" applyAlignment="1"/>
    <xf numFmtId="174" fontId="51" fillId="0" borderId="0" xfId="0" applyFont="1"/>
    <xf numFmtId="172" fontId="29" fillId="2" borderId="0" xfId="57" applyFont="1" applyFill="1" applyAlignment="1">
      <alignment horizontal="center"/>
    </xf>
    <xf numFmtId="174" fontId="47" fillId="0" borderId="0" xfId="0" applyFont="1" applyFill="1" applyBorder="1"/>
    <xf numFmtId="171" fontId="0" fillId="0" borderId="0" xfId="56" applyFont="1" applyFill="1"/>
    <xf numFmtId="174" fontId="0" fillId="5" borderId="0" xfId="51" applyNumberFormat="1" applyFont="1" applyAlignment="1">
      <alignment horizontal="left"/>
    </xf>
    <xf numFmtId="179" fontId="52" fillId="37" borderId="11" xfId="61" applyNumberFormat="1" applyFont="1">
      <protection locked="0"/>
    </xf>
    <xf numFmtId="180" fontId="32" fillId="37" borderId="11" xfId="61" applyNumberFormat="1">
      <protection locked="0"/>
    </xf>
    <xf numFmtId="181" fontId="0" fillId="0" borderId="0" xfId="0" applyNumberFormat="1"/>
    <xf numFmtId="174" fontId="0" fillId="0" borderId="0" xfId="0" applyBorder="1"/>
    <xf numFmtId="180" fontId="0" fillId="0" borderId="0" xfId="0" applyNumberFormat="1"/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  <xf numFmtId="168" fontId="4" fillId="5" borderId="0" xfId="51" applyNumberFormat="1" applyFont="1" applyAlignment="1">
      <alignment horizontal="left"/>
    </xf>
    <xf numFmtId="174" fontId="0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cent" xfId="6" builtinId="5" hidden="1"/>
    <cellStyle name="Per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zoomScale="130" zoomScaleNormal="130" workbookViewId="0">
      <selection sqref="A1:N1"/>
    </sheetView>
  </sheetViews>
  <sheetFormatPr defaultColWidth="9.140625" defaultRowHeight="15" x14ac:dyDescent="0.25"/>
  <cols>
    <col min="1" max="1" width="9.85546875" style="30" customWidth="1"/>
    <col min="2" max="13" width="9.140625" style="30" customWidth="1"/>
    <col min="14" max="14" width="9.85546875" style="30" customWidth="1"/>
    <col min="15" max="26" width="9.140625" style="30" customWidth="1"/>
    <col min="27" max="16384" width="9.140625" style="30"/>
  </cols>
  <sheetData>
    <row r="1" spans="1:14" s="32" customFormat="1" ht="189.75" customHeight="1" x14ac:dyDescent="0.4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</row>
    <row r="2" spans="1:14" s="20" customFormat="1" ht="75" customHeight="1" x14ac:dyDescent="0.25">
      <c r="A2" s="101" t="s">
        <v>176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1:14" s="21" customFormat="1" ht="7.5" customHeight="1" x14ac:dyDescent="0.2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25">
      <c r="A4" s="35"/>
      <c r="B4" s="36"/>
      <c r="C4" s="100"/>
      <c r="D4" s="100"/>
      <c r="E4" s="37"/>
      <c r="F4" s="38"/>
      <c r="G4" s="38"/>
      <c r="H4" s="38"/>
      <c r="I4" s="38"/>
      <c r="J4" s="38"/>
      <c r="K4" s="38"/>
      <c r="L4" s="37"/>
      <c r="M4" s="37"/>
      <c r="N4" s="37"/>
    </row>
    <row r="5" spans="1:14" s="21" customFormat="1" ht="15" customHeight="1" x14ac:dyDescent="0.25">
      <c r="A5" s="102" t="s">
        <v>7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1" customFormat="1" ht="15" customHeight="1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</row>
    <row r="7" spans="1:14" s="21" customFormat="1" ht="15" customHeight="1" x14ac:dyDescent="0.25">
      <c r="A7" s="102" t="s">
        <v>164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</row>
    <row r="8" spans="1:14" s="21" customFormat="1" ht="15" customHeight="1" thickBot="1" x14ac:dyDescent="0.3">
      <c r="A8" s="40"/>
      <c r="B8" s="41"/>
      <c r="C8" s="40"/>
      <c r="D8" s="40"/>
      <c r="E8" s="42"/>
      <c r="F8" s="43"/>
      <c r="G8" s="43"/>
      <c r="H8" s="43"/>
      <c r="I8" s="43"/>
      <c r="J8" s="43"/>
      <c r="K8" s="43"/>
      <c r="L8" s="42"/>
      <c r="M8" s="42"/>
      <c r="N8" s="42"/>
    </row>
    <row r="9" spans="1:14" s="21" customFormat="1" ht="15" customHeight="1" x14ac:dyDescent="0.25">
      <c r="F9" s="26"/>
      <c r="G9"/>
      <c r="H9"/>
      <c r="I9"/>
      <c r="J9"/>
      <c r="K9" s="26"/>
    </row>
    <row r="10" spans="1:14" s="21" customFormat="1" ht="15" customHeight="1" x14ac:dyDescent="0.25">
      <c r="B10" s="22"/>
      <c r="C10" s="22"/>
      <c r="F10" s="26"/>
      <c r="G10"/>
      <c r="H10"/>
      <c r="I10"/>
      <c r="J10"/>
      <c r="K10" s="26"/>
    </row>
    <row r="11" spans="1:14" s="21" customFormat="1" ht="15" customHeight="1" x14ac:dyDescent="0.25">
      <c r="B11" s="18"/>
      <c r="C11" s="18"/>
      <c r="D11" s="19"/>
      <c r="F11" s="23"/>
      <c r="G11"/>
      <c r="H11"/>
      <c r="I11"/>
      <c r="J11"/>
      <c r="K11" s="23"/>
    </row>
    <row r="12" spans="1:14" s="21" customFormat="1" ht="15" customHeight="1" x14ac:dyDescent="0.25">
      <c r="A12" s="24"/>
      <c r="B12" s="18"/>
      <c r="C12" s="18"/>
      <c r="D12" s="27"/>
      <c r="F12" s="23"/>
      <c r="G12"/>
      <c r="H12"/>
      <c r="I12"/>
      <c r="J12"/>
      <c r="K12" s="23"/>
    </row>
    <row r="13" spans="1:14" s="21" customFormat="1" ht="15" customHeight="1" x14ac:dyDescent="0.25">
      <c r="A13" s="17"/>
      <c r="B13" s="18"/>
      <c r="C13" s="18"/>
      <c r="D13" s="28"/>
      <c r="F13" s="23"/>
      <c r="G13"/>
      <c r="H13"/>
      <c r="I13"/>
      <c r="J13"/>
      <c r="K13" s="23"/>
    </row>
    <row r="14" spans="1:14" s="21" customFormat="1" ht="15" customHeight="1" x14ac:dyDescent="0.25">
      <c r="A14" s="20"/>
      <c r="B14" s="18"/>
      <c r="C14" s="18"/>
      <c r="D14" s="28"/>
      <c r="F14" s="23"/>
      <c r="G14"/>
      <c r="H14"/>
      <c r="I14"/>
      <c r="J14"/>
      <c r="K14" s="23"/>
    </row>
    <row r="15" spans="1:14" s="21" customFormat="1" ht="15" customHeight="1" x14ac:dyDescent="0.2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25">
      <c r="A16" s="20"/>
      <c r="B16" s="18"/>
      <c r="C16" s="18"/>
      <c r="D16" s="29"/>
      <c r="F16" s="23"/>
      <c r="G16" s="99"/>
      <c r="H16" s="99"/>
      <c r="I16" s="99"/>
      <c r="J16" s="99"/>
      <c r="K16" s="23"/>
    </row>
  </sheetData>
  <mergeCells count="6">
    <mergeCell ref="A1:N1"/>
    <mergeCell ref="G16:J16"/>
    <mergeCell ref="C4:D4"/>
    <mergeCell ref="A2:N2"/>
    <mergeCell ref="A5:N6"/>
    <mergeCell ref="A7:N7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9"/>
  <sheetViews>
    <sheetView showGridLines="0" zoomScaleNormal="100" workbookViewId="0"/>
  </sheetViews>
  <sheetFormatPr defaultColWidth="9.140625" defaultRowHeight="15" x14ac:dyDescent="0.25"/>
  <cols>
    <col min="1" max="1" width="1.42578125" customWidth="1"/>
    <col min="2" max="2" width="2.85546875" customWidth="1"/>
    <col min="3" max="3" width="13.140625" customWidth="1"/>
    <col min="4" max="4" width="2.85546875" customWidth="1"/>
    <col min="5" max="7" width="1.42578125" customWidth="1"/>
    <col min="8" max="8" width="2.85546875" customWidth="1"/>
    <col min="9" max="9" width="43" customWidth="1"/>
    <col min="10" max="11" width="1.42578125" customWidth="1"/>
    <col min="12" max="12" width="31.42578125" customWidth="1"/>
    <col min="13" max="14" width="1.42578125" customWidth="1"/>
    <col min="15" max="15" width="2.85546875" customWidth="1"/>
    <col min="16" max="16" width="32.5703125" customWidth="1"/>
    <col min="17" max="17" width="2.85546875" customWidth="1"/>
    <col min="18" max="18" width="1.42578125" customWidth="1"/>
    <col min="23" max="23" width="17.85546875" bestFit="1" customWidth="1"/>
  </cols>
  <sheetData>
    <row r="1" spans="1:19" s="32" customFormat="1" ht="45" customHeight="1" x14ac:dyDescent="0.45">
      <c r="A1" s="13" t="s">
        <v>176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9" s="33" customFormat="1" ht="30" customHeight="1" x14ac:dyDescent="0.35">
      <c r="A2" s="14" t="str" cm="1">
        <f t="array" aca="1" ref="A2" ca="1">MID(CELL("filename",C1),FIND("]",CELL("filename",C1))+1,255)</f>
        <v>Info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9" s="2" customFormat="1" ht="7.5" customHeight="1" x14ac:dyDescent="0.25"/>
    <row r="4" spans="1:19" s="2" customFormat="1" ht="22.5" customHeight="1" x14ac:dyDescent="0.25">
      <c r="A4" s="1"/>
      <c r="B4" s="103" t="s">
        <v>0</v>
      </c>
      <c r="C4" s="103"/>
      <c r="D4" s="103"/>
      <c r="E4" s="103"/>
      <c r="F4" s="103"/>
      <c r="G4" s="103"/>
      <c r="H4" s="103"/>
      <c r="I4" s="103"/>
      <c r="K4" s="1"/>
      <c r="L4" s="103" t="s">
        <v>2</v>
      </c>
      <c r="M4" s="103"/>
      <c r="N4" s="103"/>
      <c r="O4" s="103"/>
      <c r="P4" s="103"/>
      <c r="Q4" s="38"/>
      <c r="R4" s="38"/>
    </row>
    <row r="5" spans="1:19" s="2" customFormat="1" ht="15" customHeight="1" x14ac:dyDescent="0.25">
      <c r="A5" s="15"/>
      <c r="B5" s="8" t="s">
        <v>1</v>
      </c>
      <c r="C5" s="52" t="s">
        <v>115</v>
      </c>
      <c r="D5" s="16"/>
      <c r="E5" s="16"/>
      <c r="F5" s="16"/>
      <c r="G5" s="16"/>
      <c r="H5" s="16"/>
      <c r="I5" s="16"/>
      <c r="K5" s="1"/>
      <c r="L5" s="9"/>
      <c r="M5" s="9"/>
      <c r="N5" s="107"/>
      <c r="O5" s="107"/>
      <c r="P5" s="107"/>
      <c r="Q5" s="107"/>
      <c r="R5" s="38"/>
    </row>
    <row r="6" spans="1:19" s="2" customFormat="1" ht="15" customHeight="1" x14ac:dyDescent="0.25">
      <c r="A6" s="15"/>
      <c r="B6" s="8" t="s">
        <v>1</v>
      </c>
      <c r="C6" s="52" t="s">
        <v>118</v>
      </c>
      <c r="D6" s="16"/>
      <c r="E6" s="16"/>
      <c r="F6" s="16"/>
      <c r="G6" s="16"/>
      <c r="H6" s="16"/>
      <c r="I6" s="16"/>
      <c r="K6" s="1"/>
      <c r="L6" s="9" t="s">
        <v>15</v>
      </c>
      <c r="M6" s="9"/>
      <c r="N6" s="9" t="s">
        <v>177</v>
      </c>
      <c r="O6" s="9"/>
      <c r="P6" s="57"/>
      <c r="Q6" s="57"/>
      <c r="R6" s="38"/>
    </row>
    <row r="7" spans="1:19" s="2" customFormat="1" ht="15" customHeight="1" x14ac:dyDescent="0.25">
      <c r="A7" s="3"/>
      <c r="B7" s="8" t="s">
        <v>1</v>
      </c>
      <c r="C7" s="52" t="s">
        <v>129</v>
      </c>
      <c r="D7" s="16"/>
      <c r="E7" s="16"/>
      <c r="F7" s="16"/>
      <c r="G7" s="16"/>
      <c r="H7" s="16"/>
      <c r="I7" s="16"/>
      <c r="K7" s="15"/>
      <c r="L7" s="9" t="s">
        <v>116</v>
      </c>
      <c r="M7" s="9"/>
      <c r="N7" s="105">
        <v>44500</v>
      </c>
      <c r="O7" s="105"/>
      <c r="P7" s="105"/>
      <c r="Q7" s="105"/>
      <c r="R7" s="38"/>
      <c r="S7" s="21"/>
    </row>
    <row r="8" spans="1:19" s="2" customFormat="1" ht="15" customHeight="1" x14ac:dyDescent="0.25">
      <c r="A8" s="16"/>
      <c r="B8" s="8" t="s">
        <v>1</v>
      </c>
      <c r="C8" s="52" t="s">
        <v>157</v>
      </c>
      <c r="D8" s="16"/>
      <c r="E8" s="16"/>
      <c r="F8" s="16"/>
      <c r="G8" s="16"/>
      <c r="H8" s="16"/>
      <c r="I8" s="16"/>
      <c r="K8" s="3"/>
      <c r="L8" s="9" t="s">
        <v>117</v>
      </c>
      <c r="M8" s="9"/>
      <c r="N8" s="105">
        <v>44500</v>
      </c>
      <c r="O8" s="105"/>
      <c r="P8" s="105"/>
      <c r="Q8" s="105"/>
      <c r="R8" s="38"/>
      <c r="S8" s="90"/>
    </row>
    <row r="9" spans="1:19" s="2" customFormat="1" ht="15" customHeight="1" x14ac:dyDescent="0.25">
      <c r="A9" s="16"/>
      <c r="B9" s="8" t="s">
        <v>1</v>
      </c>
      <c r="C9" s="52" t="s">
        <v>237</v>
      </c>
      <c r="D9" s="16"/>
      <c r="E9" s="16"/>
      <c r="F9" s="16"/>
      <c r="G9" s="16"/>
      <c r="H9" s="16"/>
      <c r="I9" s="16"/>
      <c r="K9" s="16"/>
      <c r="L9" s="9" t="s">
        <v>3</v>
      </c>
      <c r="M9" s="9"/>
      <c r="N9" s="107" t="s">
        <v>178</v>
      </c>
      <c r="O9" s="107"/>
      <c r="P9" s="107"/>
      <c r="Q9" s="107"/>
      <c r="R9" s="38"/>
    </row>
    <row r="10" spans="1:19" s="2" customFormat="1" ht="15" customHeight="1" x14ac:dyDescent="0.25">
      <c r="A10" s="39"/>
      <c r="B10" s="8" t="s">
        <v>1</v>
      </c>
      <c r="C10" s="52" t="s">
        <v>158</v>
      </c>
      <c r="D10" s="39"/>
      <c r="E10" s="39"/>
      <c r="F10" s="39"/>
      <c r="G10" s="39"/>
      <c r="H10" s="39"/>
      <c r="I10" s="39"/>
      <c r="K10" s="16"/>
      <c r="L10" s="9" t="s">
        <v>4</v>
      </c>
      <c r="M10" s="9"/>
      <c r="N10" s="107" t="s">
        <v>6</v>
      </c>
      <c r="O10" s="107"/>
      <c r="P10" s="107"/>
      <c r="Q10" s="107"/>
      <c r="R10" s="38"/>
    </row>
    <row r="11" spans="1:19" s="2" customFormat="1" ht="15" customHeight="1" x14ac:dyDescent="0.25">
      <c r="A11" s="37"/>
      <c r="B11" s="8" t="s">
        <v>1</v>
      </c>
      <c r="C11" s="52" t="s">
        <v>167</v>
      </c>
      <c r="D11" s="37"/>
      <c r="E11" s="37"/>
      <c r="F11" s="37"/>
      <c r="G11" s="37"/>
      <c r="H11" s="37"/>
      <c r="I11" s="37"/>
      <c r="K11" s="16"/>
      <c r="L11" s="9" t="s">
        <v>5</v>
      </c>
      <c r="M11" s="9"/>
      <c r="N11" s="108">
        <v>1</v>
      </c>
      <c r="O11" s="108"/>
      <c r="P11" s="108"/>
      <c r="Q11" s="108"/>
      <c r="R11" s="44"/>
    </row>
    <row r="12" spans="1:19" s="2" customFormat="1" ht="15" customHeight="1" thickBot="1" x14ac:dyDescent="0.3">
      <c r="A12" s="42"/>
      <c r="B12" s="42"/>
      <c r="C12" s="42"/>
      <c r="D12" s="42"/>
      <c r="E12" s="42"/>
      <c r="F12" s="42"/>
      <c r="G12" s="42"/>
      <c r="H12" s="42"/>
      <c r="I12" s="42"/>
      <c r="K12" s="4"/>
      <c r="L12" s="56"/>
      <c r="M12" s="56"/>
      <c r="N12" s="45"/>
      <c r="O12" s="46"/>
      <c r="P12" s="46"/>
      <c r="Q12" s="47"/>
      <c r="R12" s="48"/>
    </row>
    <row r="13" spans="1:19" s="2" customFormat="1" ht="7.5" customHeight="1" x14ac:dyDescent="0.25">
      <c r="K13" s="23"/>
      <c r="L13" s="23"/>
      <c r="M13" s="23"/>
      <c r="N13" s="23"/>
      <c r="O13" s="23"/>
      <c r="P13" s="23"/>
      <c r="Q13" s="23"/>
      <c r="R13" s="23"/>
    </row>
    <row r="14" spans="1:19" s="2" customFormat="1" ht="22.5" customHeight="1" x14ac:dyDescent="0.25">
      <c r="A14" s="52"/>
      <c r="B14" s="104" t="s">
        <v>12</v>
      </c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N14" s="1"/>
      <c r="O14" s="103" t="s">
        <v>8</v>
      </c>
      <c r="P14" s="103"/>
      <c r="Q14" s="103"/>
      <c r="R14" s="55"/>
    </row>
    <row r="15" spans="1:19" s="2" customFormat="1" ht="15" customHeight="1" x14ac:dyDescent="0.25">
      <c r="A15" s="53"/>
      <c r="B15" s="106" t="s">
        <v>165</v>
      </c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N15" s="15"/>
      <c r="O15" s="25"/>
      <c r="P15" s="20"/>
      <c r="Q15" s="20"/>
      <c r="R15" s="53"/>
    </row>
    <row r="16" spans="1:19" s="2" customFormat="1" ht="15" customHeight="1" x14ac:dyDescent="0.25">
      <c r="A16" s="53"/>
      <c r="B16" s="106" t="s">
        <v>9</v>
      </c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N16" s="3"/>
      <c r="O16" s="25"/>
      <c r="P16" s="49" t="s">
        <v>9</v>
      </c>
      <c r="Q16" s="20"/>
      <c r="R16" s="53"/>
    </row>
    <row r="17" spans="1:18" s="2" customFormat="1" ht="15" customHeight="1" x14ac:dyDescent="0.25">
      <c r="A17" s="53"/>
      <c r="B17" s="106" t="s">
        <v>166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N17" s="16"/>
      <c r="O17" s="25"/>
      <c r="P17" s="34" t="s">
        <v>10</v>
      </c>
      <c r="Q17" s="20"/>
      <c r="R17" s="53"/>
    </row>
    <row r="18" spans="1:18" s="2" customFormat="1" ht="15" customHeight="1" x14ac:dyDescent="0.25">
      <c r="A18" s="53"/>
      <c r="B18" s="106" t="s">
        <v>160</v>
      </c>
      <c r="C18" s="106"/>
      <c r="D18" s="106"/>
      <c r="E18" s="106"/>
      <c r="F18" s="106"/>
      <c r="G18" s="106"/>
      <c r="H18" s="106"/>
      <c r="I18" s="106"/>
      <c r="J18" s="106"/>
      <c r="K18" s="106"/>
      <c r="L18" s="106"/>
      <c r="N18" s="16"/>
      <c r="O18" s="25"/>
      <c r="P18" t="s">
        <v>11</v>
      </c>
      <c r="Q18" s="20"/>
      <c r="R18" s="53"/>
    </row>
    <row r="19" spans="1:18" s="2" customFormat="1" ht="15" customHeight="1" x14ac:dyDescent="0.25">
      <c r="A19" s="53"/>
      <c r="B19" s="92" t="s">
        <v>161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N19" s="16"/>
      <c r="O19" s="25"/>
      <c r="P19"/>
      <c r="Q19" s="20"/>
      <c r="R19" s="53"/>
    </row>
    <row r="20" spans="1:18" s="2" customFormat="1" ht="15" customHeight="1" x14ac:dyDescent="0.25">
      <c r="A20" s="37"/>
      <c r="B20" s="52" t="s">
        <v>162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N20" s="37"/>
      <c r="O20" s="50"/>
      <c r="P20" s="50"/>
      <c r="Q20" s="50"/>
      <c r="R20" s="37"/>
    </row>
    <row r="21" spans="1:18" s="2" customFormat="1" ht="15" customHeight="1" x14ac:dyDescent="0.25">
      <c r="A21" s="37"/>
      <c r="B21" s="106" t="s">
        <v>56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N21" s="37"/>
      <c r="O21" s="50"/>
      <c r="P21" s="50"/>
      <c r="Q21" s="50"/>
      <c r="R21" s="37"/>
    </row>
    <row r="22" spans="1:18" ht="15.75" thickBot="1" x14ac:dyDescent="0.3">
      <c r="A22" s="42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N22" s="42"/>
      <c r="O22" s="42"/>
      <c r="P22" s="42"/>
      <c r="Q22" s="42"/>
      <c r="R22" s="42"/>
    </row>
    <row r="23" spans="1:18" x14ac:dyDescent="0.25">
      <c r="Q23" s="51"/>
      <c r="R23" s="31"/>
    </row>
    <row r="24" spans="1:18" x14ac:dyDescent="0.25">
      <c r="C24" s="60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</row>
    <row r="25" spans="1:18" x14ac:dyDescent="0.25"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</row>
    <row r="26" spans="1:18" x14ac:dyDescent="0.25">
      <c r="F26" s="31"/>
      <c r="G26" s="31"/>
      <c r="H26" s="31"/>
      <c r="I26" s="31"/>
      <c r="J26" s="31"/>
      <c r="K26" s="31"/>
      <c r="L26" s="31"/>
      <c r="M26" s="31"/>
      <c r="N26" s="30"/>
      <c r="O26" s="30"/>
      <c r="P26" s="30"/>
      <c r="Q26" s="30"/>
    </row>
    <row r="27" spans="1:18" x14ac:dyDescent="0.2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2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8" x14ac:dyDescent="0.25"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</sheetData>
  <mergeCells count="20">
    <mergeCell ref="B21:C21"/>
    <mergeCell ref="D21:L21"/>
    <mergeCell ref="B18:C18"/>
    <mergeCell ref="D18:L18"/>
    <mergeCell ref="L4:P4"/>
    <mergeCell ref="B4:I4"/>
    <mergeCell ref="B14:L14"/>
    <mergeCell ref="N7:Q7"/>
    <mergeCell ref="D17:L17"/>
    <mergeCell ref="N5:Q5"/>
    <mergeCell ref="N8:Q8"/>
    <mergeCell ref="N9:Q9"/>
    <mergeCell ref="N10:Q10"/>
    <mergeCell ref="N11:Q11"/>
    <mergeCell ref="O14:Q14"/>
    <mergeCell ref="D15:L15"/>
    <mergeCell ref="D16:L16"/>
    <mergeCell ref="B15:C15"/>
    <mergeCell ref="B16:C16"/>
    <mergeCell ref="B17:C17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7"/>
  <sheetViews>
    <sheetView tabSelected="1" topLeftCell="A29"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e" cm="1">
        <f t="array" aca="1" ref="A3" ca="1">MID(CELL("filename",#REF!),FIND("]",CELL("filename",#REF!))+1,255)</f>
        <v>#REF!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N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si="0"/>
        <v>46691</v>
      </c>
      <c r="M3" s="11">
        <f t="shared" si="0"/>
        <v>47057</v>
      </c>
      <c r="N3" s="11">
        <f t="shared" si="0"/>
        <v>47422</v>
      </c>
    </row>
    <row r="5" spans="1:14" x14ac:dyDescent="0.25">
      <c r="A5" s="60" t="s">
        <v>60</v>
      </c>
    </row>
    <row r="6" spans="1:14" x14ac:dyDescent="0.25">
      <c r="A6" s="60"/>
      <c r="B6" t="s">
        <v>179</v>
      </c>
      <c r="F6" s="94">
        <v>1.78</v>
      </c>
    </row>
    <row r="7" spans="1:14" x14ac:dyDescent="0.25">
      <c r="A7" s="60"/>
      <c r="B7" t="s">
        <v>131</v>
      </c>
      <c r="F7" s="76">
        <v>0.6</v>
      </c>
    </row>
    <row r="8" spans="1:14" x14ac:dyDescent="0.25">
      <c r="A8" s="60"/>
      <c r="B8" t="s">
        <v>250</v>
      </c>
      <c r="F8" s="97">
        <f>F6*(1+F7)</f>
        <v>2.8480000000000003</v>
      </c>
    </row>
    <row r="9" spans="1:14" x14ac:dyDescent="0.25">
      <c r="A9" s="60"/>
      <c r="B9" t="s">
        <v>181</v>
      </c>
      <c r="F9" s="74">
        <f>2419457489/1000000</f>
        <v>2419.4574889999999</v>
      </c>
    </row>
    <row r="10" spans="1:14" x14ac:dyDescent="0.25">
      <c r="A10" s="60"/>
      <c r="B10" t="s">
        <v>132</v>
      </c>
      <c r="F10">
        <f>SUM(E30:E32)</f>
        <v>55.529634831460669</v>
      </c>
    </row>
    <row r="11" spans="1:14" x14ac:dyDescent="0.25">
      <c r="A11" s="60"/>
      <c r="B11" t="s">
        <v>133</v>
      </c>
      <c r="F11">
        <f>SUM(F9:F10)</f>
        <v>2474.9871238314604</v>
      </c>
    </row>
    <row r="12" spans="1:14" x14ac:dyDescent="0.25">
      <c r="B12" t="s">
        <v>66</v>
      </c>
      <c r="F12">
        <f>F8*F11</f>
        <v>7048.7633286720002</v>
      </c>
    </row>
    <row r="13" spans="1:14" x14ac:dyDescent="0.25">
      <c r="B13" t="s">
        <v>183</v>
      </c>
      <c r="F13">
        <f>BS!C18+BS!C23+BS!C24-BS!C5</f>
        <v>3012</v>
      </c>
    </row>
    <row r="14" spans="1:14" x14ac:dyDescent="0.25">
      <c r="B14" t="s">
        <v>180</v>
      </c>
      <c r="F14" s="66">
        <v>1.3</v>
      </c>
    </row>
    <row r="15" spans="1:14" x14ac:dyDescent="0.25">
      <c r="B15" t="s">
        <v>62</v>
      </c>
      <c r="F15">
        <f>SUM(F12:F14)</f>
        <v>10062.063328672</v>
      </c>
    </row>
    <row r="16" spans="1:14" x14ac:dyDescent="0.25">
      <c r="B16" t="s">
        <v>61</v>
      </c>
      <c r="F16">
        <f>IS!C20</f>
        <v>693.3</v>
      </c>
    </row>
    <row r="17" spans="1:6" x14ac:dyDescent="0.25">
      <c r="B17" t="s">
        <v>122</v>
      </c>
      <c r="F17" s="80">
        <f>F15/F16</f>
        <v>14.513289093714123</v>
      </c>
    </row>
    <row r="18" spans="1:6" x14ac:dyDescent="0.25">
      <c r="B18" t="s">
        <v>155</v>
      </c>
      <c r="F18" s="65">
        <f>F17</f>
        <v>14.513289093714123</v>
      </c>
    </row>
    <row r="19" spans="1:6" x14ac:dyDescent="0.25">
      <c r="B19" t="s">
        <v>63</v>
      </c>
      <c r="F19" s="67">
        <v>0.02</v>
      </c>
    </row>
    <row r="20" spans="1:6" x14ac:dyDescent="0.25">
      <c r="B20" t="s">
        <v>119</v>
      </c>
      <c r="F20" s="68">
        <v>5.0000000000000001E-4</v>
      </c>
    </row>
    <row r="21" spans="1:6" x14ac:dyDescent="0.25">
      <c r="B21" t="s">
        <v>64</v>
      </c>
      <c r="F21" s="66">
        <v>5</v>
      </c>
    </row>
    <row r="22" spans="1:6" x14ac:dyDescent="0.25">
      <c r="B22" t="s">
        <v>108</v>
      </c>
      <c r="F22" s="67">
        <v>0.75</v>
      </c>
    </row>
    <row r="23" spans="1:6" x14ac:dyDescent="0.25">
      <c r="B23" t="s">
        <v>251</v>
      </c>
      <c r="F23" s="67">
        <v>0.03</v>
      </c>
    </row>
    <row r="24" spans="1:6" x14ac:dyDescent="0.25">
      <c r="B24" t="s">
        <v>219</v>
      </c>
      <c r="F24" s="66">
        <v>3</v>
      </c>
    </row>
    <row r="25" spans="1:6" x14ac:dyDescent="0.25">
      <c r="B25" t="s">
        <v>174</v>
      </c>
      <c r="F25" s="76">
        <v>0.05</v>
      </c>
    </row>
    <row r="26" spans="1:6" x14ac:dyDescent="0.25">
      <c r="B26" t="s">
        <v>217</v>
      </c>
      <c r="F26" s="76">
        <v>5.0000000000000001E-3</v>
      </c>
    </row>
    <row r="28" spans="1:6" x14ac:dyDescent="0.25">
      <c r="A28" s="60" t="s">
        <v>132</v>
      </c>
    </row>
    <row r="29" spans="1:6" x14ac:dyDescent="0.25">
      <c r="B29" s="86" t="s">
        <v>134</v>
      </c>
      <c r="C29" s="85" t="s">
        <v>135</v>
      </c>
      <c r="D29" s="85" t="s">
        <v>136</v>
      </c>
      <c r="E29" s="85" t="s">
        <v>137</v>
      </c>
    </row>
    <row r="30" spans="1:6" x14ac:dyDescent="0.25">
      <c r="B30" t="s">
        <v>184</v>
      </c>
      <c r="C30" s="66">
        <v>51</v>
      </c>
      <c r="D30" s="66">
        <v>1.83</v>
      </c>
      <c r="E30">
        <f>C30*MAX(0,($F$8-D30)/$F$8)</f>
        <v>18.229634831460675</v>
      </c>
    </row>
    <row r="31" spans="1:6" x14ac:dyDescent="0.25">
      <c r="B31" t="s">
        <v>185</v>
      </c>
      <c r="C31" s="66">
        <v>34</v>
      </c>
      <c r="D31" s="66">
        <v>0</v>
      </c>
      <c r="E31">
        <f>C31*MAX(0,($F$8-D31)/$F$8)</f>
        <v>34</v>
      </c>
    </row>
    <row r="32" spans="1:6" x14ac:dyDescent="0.25">
      <c r="B32" t="s">
        <v>186</v>
      </c>
      <c r="C32" s="66">
        <v>3.3</v>
      </c>
      <c r="D32" s="66">
        <v>0</v>
      </c>
      <c r="E32">
        <f>C32*MAX(0,($F$8-D32)/$F$8)</f>
        <v>3.3</v>
      </c>
    </row>
    <row r="34" spans="1:4" x14ac:dyDescent="0.25">
      <c r="A34" s="60" t="s">
        <v>138</v>
      </c>
    </row>
    <row r="35" spans="1:4" x14ac:dyDescent="0.25">
      <c r="B35" t="s">
        <v>134</v>
      </c>
      <c r="C35" t="s">
        <v>139</v>
      </c>
      <c r="D35" t="s">
        <v>140</v>
      </c>
    </row>
    <row r="36" spans="1:4" x14ac:dyDescent="0.25">
      <c r="B36" t="s">
        <v>43</v>
      </c>
      <c r="C36" s="66">
        <v>0</v>
      </c>
      <c r="D36" s="66">
        <v>0</v>
      </c>
    </row>
    <row r="37" spans="1:4" x14ac:dyDescent="0.25">
      <c r="B37" t="s">
        <v>227</v>
      </c>
      <c r="C37" s="66">
        <v>2800</v>
      </c>
      <c r="D37" s="66">
        <v>500</v>
      </c>
    </row>
    <row r="38" spans="1:4" x14ac:dyDescent="0.25">
      <c r="B38" t="s">
        <v>228</v>
      </c>
      <c r="C38" s="66">
        <v>800</v>
      </c>
      <c r="D38" s="66">
        <v>100</v>
      </c>
    </row>
    <row r="39" spans="1:4" x14ac:dyDescent="0.25">
      <c r="B39" t="s">
        <v>187</v>
      </c>
      <c r="C39" s="66">
        <v>0</v>
      </c>
      <c r="D39" s="66">
        <v>6000</v>
      </c>
    </row>
    <row r="40" spans="1:4" x14ac:dyDescent="0.25">
      <c r="B40" t="s">
        <v>74</v>
      </c>
      <c r="C40" s="66">
        <v>1000</v>
      </c>
      <c r="D40" s="66">
        <v>0</v>
      </c>
    </row>
    <row r="41" spans="1:4" x14ac:dyDescent="0.25">
      <c r="B41" t="s">
        <v>90</v>
      </c>
      <c r="C41">
        <f>C43-C42-SUM(C36:C40)</f>
        <v>2878.0045952454402</v>
      </c>
      <c r="D41">
        <f>D43-D42-SUM(D36:D40)</f>
        <v>878.00459524544021</v>
      </c>
    </row>
    <row r="42" spans="1:4" x14ac:dyDescent="0.25">
      <c r="B42" t="s">
        <v>69</v>
      </c>
      <c r="C42" s="66">
        <v>1500</v>
      </c>
      <c r="D42" s="66">
        <v>1500</v>
      </c>
    </row>
    <row r="43" spans="1:4" x14ac:dyDescent="0.25">
      <c r="B43" t="s">
        <v>70</v>
      </c>
      <c r="C43">
        <f>$D$49</f>
        <v>8978.0045952454402</v>
      </c>
      <c r="D43">
        <f>$D$49</f>
        <v>8978.0045952454402</v>
      </c>
    </row>
    <row r="45" spans="1:4" x14ac:dyDescent="0.25">
      <c r="A45" s="60" t="s">
        <v>65</v>
      </c>
    </row>
    <row r="46" spans="1:4" x14ac:dyDescent="0.25">
      <c r="B46" t="str">
        <f>B12</f>
        <v>Acquisition equity value</v>
      </c>
      <c r="D46">
        <f>F12</f>
        <v>7048.7633286720002</v>
      </c>
    </row>
    <row r="47" spans="1:4" x14ac:dyDescent="0.25">
      <c r="B47" t="s">
        <v>221</v>
      </c>
      <c r="D47">
        <f>BS!C18+BS!C23-BS!C5</f>
        <v>1728</v>
      </c>
    </row>
    <row r="48" spans="1:4" x14ac:dyDescent="0.25">
      <c r="B48" t="s">
        <v>67</v>
      </c>
      <c r="D48">
        <f>F19*F15</f>
        <v>201.24126657344002</v>
      </c>
    </row>
    <row r="49" spans="1:8" x14ac:dyDescent="0.25">
      <c r="B49" t="s">
        <v>68</v>
      </c>
      <c r="D49">
        <f>SUM(D46:D48)</f>
        <v>8978.0045952454402</v>
      </c>
    </row>
    <row r="51" spans="1:8" x14ac:dyDescent="0.25">
      <c r="B51" t="s">
        <v>141</v>
      </c>
      <c r="D51" s="66">
        <v>1</v>
      </c>
    </row>
    <row r="53" spans="1:8" x14ac:dyDescent="0.25">
      <c r="E53" s="63" t="s">
        <v>128</v>
      </c>
      <c r="F53" s="63" t="s">
        <v>107</v>
      </c>
    </row>
    <row r="54" spans="1:8" x14ac:dyDescent="0.25">
      <c r="C54" s="63" t="s">
        <v>170</v>
      </c>
      <c r="E54" s="63" t="s">
        <v>106</v>
      </c>
      <c r="F54" s="63" t="s">
        <v>171</v>
      </c>
      <c r="G54" s="63" t="s">
        <v>71</v>
      </c>
      <c r="H54" s="63" t="s">
        <v>72</v>
      </c>
    </row>
    <row r="55" spans="1:8" x14ac:dyDescent="0.25">
      <c r="B55" t="s">
        <v>43</v>
      </c>
      <c r="C55" cm="1">
        <f t="array" ref="C55">INDEX(C36:D36,,$D$51)</f>
        <v>0</v>
      </c>
      <c r="E55" s="64">
        <f>C55/$F$16</f>
        <v>0</v>
      </c>
      <c r="F55" s="62">
        <f t="shared" ref="F55:F61" si="1">C55/$C$62</f>
        <v>0</v>
      </c>
      <c r="G55" s="68">
        <v>0.04</v>
      </c>
      <c r="H55" s="69">
        <f>G55+$F$20</f>
        <v>4.0500000000000001E-2</v>
      </c>
    </row>
    <row r="56" spans="1:8" x14ac:dyDescent="0.25">
      <c r="B56" t="s">
        <v>227</v>
      </c>
      <c r="C56" cm="1">
        <f t="array" ref="C56">INDEX(C37:D37,,$D$51)</f>
        <v>2800</v>
      </c>
      <c r="E56" s="91">
        <f>C56/$F$16+E55</f>
        <v>4.0386557046011831</v>
      </c>
      <c r="F56" s="62">
        <f t="shared" si="1"/>
        <v>0.31187330885114722</v>
      </c>
      <c r="G56" s="68">
        <v>0.04</v>
      </c>
      <c r="H56" s="69">
        <f>G56+$F$20</f>
        <v>4.0500000000000001E-2</v>
      </c>
    </row>
    <row r="57" spans="1:8" x14ac:dyDescent="0.25">
      <c r="B57" t="s">
        <v>228</v>
      </c>
      <c r="C57" cm="1">
        <f t="array" ref="C57">INDEX(C38:D38,,$D$51)</f>
        <v>800</v>
      </c>
      <c r="E57" s="91">
        <f>C57/$F$16+E56</f>
        <v>5.1925573344872351</v>
      </c>
      <c r="F57" s="62">
        <f t="shared" si="1"/>
        <v>8.910665967175635E-2</v>
      </c>
      <c r="G57" s="68">
        <v>0.08</v>
      </c>
      <c r="H57" s="69">
        <f>G57+$F$20</f>
        <v>8.0500000000000002E-2</v>
      </c>
    </row>
    <row r="58" spans="1:8" x14ac:dyDescent="0.25">
      <c r="B58" t="s">
        <v>187</v>
      </c>
      <c r="C58" cm="1">
        <f t="array" ref="C58">INDEX(C39:D39,,$D$51)</f>
        <v>0</v>
      </c>
      <c r="E58" s="91">
        <f>C58/$F$16+E57</f>
        <v>5.1925573344872351</v>
      </c>
      <c r="F58" s="62">
        <f t="shared" si="1"/>
        <v>0</v>
      </c>
      <c r="H58" s="77">
        <v>5.5E-2</v>
      </c>
    </row>
    <row r="59" spans="1:8" x14ac:dyDescent="0.25">
      <c r="B59" t="s">
        <v>74</v>
      </c>
      <c r="C59" cm="1">
        <f t="array" ref="C59">INDEX(C40:D40,,$D$51)</f>
        <v>1000</v>
      </c>
      <c r="E59" s="91">
        <f>C59/$F$16+E58</f>
        <v>6.6349343718448006</v>
      </c>
      <c r="F59" s="62">
        <f t="shared" si="1"/>
        <v>0.11138332458969542</v>
      </c>
      <c r="H59" s="77">
        <v>0.13</v>
      </c>
    </row>
    <row r="60" spans="1:8" x14ac:dyDescent="0.25">
      <c r="B60" t="s">
        <v>90</v>
      </c>
      <c r="C60" cm="1">
        <f t="array" ref="C60">INDEX(C41:D41,,$D$51)</f>
        <v>2878.0045952454402</v>
      </c>
      <c r="E60" s="64"/>
      <c r="F60" s="62">
        <f t="shared" si="1"/>
        <v>0.32056172000285788</v>
      </c>
      <c r="H60" s="68">
        <v>0.12</v>
      </c>
    </row>
    <row r="61" spans="1:8" x14ac:dyDescent="0.25">
      <c r="B61" t="s">
        <v>69</v>
      </c>
      <c r="C61" cm="1">
        <f t="array" ref="C61">INDEX(C42:D42,,$D$51)</f>
        <v>1500</v>
      </c>
      <c r="F61" s="62">
        <f t="shared" si="1"/>
        <v>0.16707498688454314</v>
      </c>
    </row>
    <row r="62" spans="1:8" x14ac:dyDescent="0.25">
      <c r="B62" t="s">
        <v>70</v>
      </c>
      <c r="C62">
        <f>SUM(C55:C61)</f>
        <v>8978.0045952454402</v>
      </c>
      <c r="F62" s="58">
        <f>SUM(F55:F61)</f>
        <v>1</v>
      </c>
    </row>
    <row r="63" spans="1:8" x14ac:dyDescent="0.25">
      <c r="F63" s="58"/>
    </row>
    <row r="64" spans="1:8" x14ac:dyDescent="0.25">
      <c r="A64" s="60" t="s">
        <v>73</v>
      </c>
      <c r="F64" s="58"/>
    </row>
    <row r="65" spans="1:14" x14ac:dyDescent="0.25">
      <c r="A65" s="60"/>
      <c r="C65" t="s">
        <v>142</v>
      </c>
      <c r="D65" t="s">
        <v>143</v>
      </c>
      <c r="F65" s="58"/>
    </row>
    <row r="66" spans="1:14" x14ac:dyDescent="0.25">
      <c r="A66" s="60"/>
      <c r="B66" t="s">
        <v>93</v>
      </c>
      <c r="C66" s="76">
        <v>0.04</v>
      </c>
      <c r="D66" s="58">
        <f>D69-D67-D68</f>
        <v>3.8000000000000075E-2</v>
      </c>
    </row>
    <row r="67" spans="1:14" x14ac:dyDescent="0.25">
      <c r="A67" s="60"/>
      <c r="B67" t="s">
        <v>144</v>
      </c>
      <c r="C67" s="58">
        <f>C69-C66-C68</f>
        <v>0.96</v>
      </c>
      <c r="D67" s="58">
        <f>C67*(1-D68)</f>
        <v>0.91199999999999992</v>
      </c>
    </row>
    <row r="68" spans="1:14" x14ac:dyDescent="0.25">
      <c r="A68" s="60"/>
      <c r="B68" t="s">
        <v>74</v>
      </c>
      <c r="C68" s="61">
        <v>0</v>
      </c>
      <c r="D68" s="58">
        <f>IF(C59&gt;0,F25,0)</f>
        <v>0.05</v>
      </c>
      <c r="F68" s="58"/>
    </row>
    <row r="69" spans="1:14" x14ac:dyDescent="0.25">
      <c r="A69" s="60"/>
      <c r="B69" t="s">
        <v>238</v>
      </c>
      <c r="C69" s="78">
        <v>1</v>
      </c>
      <c r="D69" s="78">
        <v>1</v>
      </c>
      <c r="F69" s="58"/>
    </row>
    <row r="71" spans="1:14" x14ac:dyDescent="0.25">
      <c r="A71" s="60" t="s">
        <v>13</v>
      </c>
    </row>
    <row r="72" spans="1:14" x14ac:dyDescent="0.25">
      <c r="B72" t="s">
        <v>75</v>
      </c>
      <c r="D72">
        <f>D46</f>
        <v>7048.7633286720002</v>
      </c>
    </row>
    <row r="73" spans="1:14" x14ac:dyDescent="0.25">
      <c r="B73" t="s">
        <v>76</v>
      </c>
      <c r="D73">
        <f>BS!C16-BS!C15-BS!C31</f>
        <v>4174</v>
      </c>
    </row>
    <row r="74" spans="1:14" x14ac:dyDescent="0.25">
      <c r="B74" t="s">
        <v>77</v>
      </c>
      <c r="D74">
        <f>D72-D73</f>
        <v>2874.7633286720002</v>
      </c>
    </row>
    <row r="76" spans="1:14" x14ac:dyDescent="0.25">
      <c r="A76" s="60" t="s">
        <v>104</v>
      </c>
    </row>
    <row r="77" spans="1:14" x14ac:dyDescent="0.25">
      <c r="B77" t="s">
        <v>105</v>
      </c>
      <c r="G77" s="71">
        <v>1</v>
      </c>
      <c r="H77" s="72">
        <f t="shared" ref="H77:N77" si="2">G77+1</f>
        <v>2</v>
      </c>
      <c r="I77" s="72">
        <f t="shared" si="2"/>
        <v>3</v>
      </c>
      <c r="J77" s="72">
        <f t="shared" si="2"/>
        <v>4</v>
      </c>
      <c r="K77" s="72">
        <f t="shared" si="2"/>
        <v>5</v>
      </c>
      <c r="L77" s="72">
        <f t="shared" si="2"/>
        <v>6</v>
      </c>
      <c r="M77" s="72">
        <f t="shared" si="2"/>
        <v>7</v>
      </c>
      <c r="N77" s="72">
        <f t="shared" si="2"/>
        <v>8</v>
      </c>
    </row>
    <row r="78" spans="1:14" x14ac:dyDescent="0.25">
      <c r="B78" t="s">
        <v>121</v>
      </c>
      <c r="G78">
        <f>IS!G20</f>
        <v>865.04166000000009</v>
      </c>
      <c r="H78">
        <f>IS!H20</f>
        <v>1043.3610717999973</v>
      </c>
      <c r="I78">
        <f>IS!I20</f>
        <v>1223.6760474739999</v>
      </c>
      <c r="J78">
        <f>IS!J20</f>
        <v>1226.0425037574194</v>
      </c>
      <c r="K78">
        <f>IS!K20</f>
        <v>1230.0820655601724</v>
      </c>
      <c r="L78">
        <f>IS!L20</f>
        <v>1235.6684412075981</v>
      </c>
      <c r="M78">
        <f>IS!M20</f>
        <v>1242.6943339680415</v>
      </c>
      <c r="N78">
        <f>IS!N20</f>
        <v>1251.0688100538077</v>
      </c>
    </row>
    <row r="79" spans="1:14" x14ac:dyDescent="0.25">
      <c r="B79" t="s">
        <v>109</v>
      </c>
      <c r="G79">
        <f t="shared" ref="G79:N79" si="3">G78*$F$18</f>
        <v>12554.599689686362</v>
      </c>
      <c r="H79">
        <f t="shared" si="3"/>
        <v>15142.600864160779</v>
      </c>
      <c r="I79">
        <f t="shared" si="3"/>
        <v>17759.56423404361</v>
      </c>
      <c r="J79">
        <f t="shared" si="3"/>
        <v>17793.909298212511</v>
      </c>
      <c r="K79">
        <f t="shared" si="3"/>
        <v>17852.53662646779</v>
      </c>
      <c r="L79">
        <f t="shared" si="3"/>
        <v>17933.613311224966</v>
      </c>
      <c r="M79">
        <f t="shared" si="3"/>
        <v>18035.582123998713</v>
      </c>
      <c r="N79">
        <f t="shared" si="3"/>
        <v>18157.123316439833</v>
      </c>
    </row>
    <row r="80" spans="1:14" x14ac:dyDescent="0.25">
      <c r="B80" s="73" t="s">
        <v>110</v>
      </c>
      <c r="G80">
        <f ca="1">BS!G5</f>
        <v>34.702338440257108</v>
      </c>
      <c r="H80">
        <f ca="1">BS!H5</f>
        <v>37.381330835176868</v>
      </c>
      <c r="I80">
        <f ca="1">BS!I5</f>
        <v>41.328815389212878</v>
      </c>
      <c r="J80">
        <f ca="1">BS!J5</f>
        <v>31.367808564829943</v>
      </c>
      <c r="K80">
        <f ca="1">BS!K5</f>
        <v>32.479288375295368</v>
      </c>
      <c r="L80">
        <f ca="1">BS!L5</f>
        <v>30.243840761659044</v>
      </c>
      <c r="M80">
        <f ca="1">BS!M5</f>
        <v>162.25756515334422</v>
      </c>
      <c r="N80">
        <f ca="1">BS!N5</f>
        <v>583.11451778547644</v>
      </c>
    </row>
    <row r="81" spans="1:14" x14ac:dyDescent="0.25">
      <c r="B81" s="73" t="s">
        <v>111</v>
      </c>
      <c r="G81">
        <f>Calc!G32*-1</f>
        <v>-3223.3651466748929</v>
      </c>
      <c r="H81">
        <f>Calc!H32*-1</f>
        <v>-3610.1689642758802</v>
      </c>
      <c r="I81">
        <f>Calc!I32*-1</f>
        <v>-4043.3892399889855</v>
      </c>
      <c r="J81">
        <f>Calc!J32*-1</f>
        <v>-4528.5959487876635</v>
      </c>
      <c r="K81">
        <f>Calc!K32*-1</f>
        <v>-5072.0274626421833</v>
      </c>
      <c r="L81">
        <f>Calc!L32*-1</f>
        <v>-5680.6707581592455</v>
      </c>
      <c r="M81">
        <f>Calc!M32*-1</f>
        <v>-6362.3512491383553</v>
      </c>
      <c r="N81">
        <f>Calc!N32*-1</f>
        <v>-7125.8333990349583</v>
      </c>
    </row>
    <row r="82" spans="1:14" x14ac:dyDescent="0.25">
      <c r="B82" s="73" t="s">
        <v>252</v>
      </c>
      <c r="G82">
        <f>Debt!G60*-1</f>
        <v>-1130</v>
      </c>
      <c r="H82">
        <f>Debt!H60*-1</f>
        <v>-1276.9000000000001</v>
      </c>
      <c r="I82">
        <f>Debt!I60*-1</f>
        <v>-1442.8970000000002</v>
      </c>
      <c r="J82">
        <f>Debt!J60*-1</f>
        <v>-1630.4736100000002</v>
      </c>
      <c r="K82">
        <f>Debt!K60*-1</f>
        <v>-1842.4351793000003</v>
      </c>
      <c r="L82">
        <f>Debt!L60*-1</f>
        <v>-2081.9517526090003</v>
      </c>
      <c r="M82">
        <f>Debt!M60*-1</f>
        <v>-2352.6054804481705</v>
      </c>
      <c r="N82">
        <f>Debt!N60*-1</f>
        <v>-2658.4441929064328</v>
      </c>
    </row>
    <row r="83" spans="1:14" x14ac:dyDescent="0.25">
      <c r="B83" s="73" t="s">
        <v>154</v>
      </c>
      <c r="G83">
        <f ca="1">(Debt!G27+Debt!G36+Debt!G45+Debt!G54+Debt!G63)*-1</f>
        <v>-4682.7545346792285</v>
      </c>
      <c r="H83">
        <f ca="1">(Debt!H27+Debt!H36+Debt!H45+Debt!H54+Debt!H63)*-1</f>
        <v>-4307.6550766736973</v>
      </c>
      <c r="I83">
        <f ca="1">(Debt!I27+Debt!I36+Debt!I45+Debt!I54+Debt!I63)*-1</f>
        <v>-3782.8921535210584</v>
      </c>
      <c r="J83">
        <f ca="1">(Debt!J27+Debt!J36+Debt!J45+Debt!J54+Debt!J63)*-1</f>
        <v>-3234.189902912819</v>
      </c>
      <c r="K83">
        <f ca="1">(Debt!K27+Debt!K36+Debt!K45+Debt!K54+Debt!K63)*-1</f>
        <v>-2684.332156651355</v>
      </c>
      <c r="L83">
        <f ca="1">(Debt!L27+Debt!L36+Debt!L45+Debt!L54+Debt!L63)*-1</f>
        <v>-2115.3635889046391</v>
      </c>
      <c r="M83">
        <f ca="1">(Debt!M27+Debt!M36+Debt!M45+Debt!M54+Debt!M63)*-1</f>
        <v>-1656.5432020833437</v>
      </c>
      <c r="N83">
        <f ca="1">(Debt!N27+Debt!N36+Debt!N45+Debt!N54+Debt!N63)*-1</f>
        <v>-1463.9766984273151</v>
      </c>
    </row>
    <row r="84" spans="1:14" x14ac:dyDescent="0.25">
      <c r="B84" t="s">
        <v>112</v>
      </c>
      <c r="G84">
        <f t="shared" ref="G84:N84" ca="1" si="4">SUM(G79:G83)</f>
        <v>3553.1823467724971</v>
      </c>
      <c r="H84">
        <f t="shared" ca="1" si="4"/>
        <v>5985.2581540463789</v>
      </c>
      <c r="I84">
        <f t="shared" ca="1" si="4"/>
        <v>8531.7146559227804</v>
      </c>
      <c r="J84">
        <f t="shared" ca="1" si="4"/>
        <v>8432.0176450768595</v>
      </c>
      <c r="K84">
        <f t="shared" ca="1" si="4"/>
        <v>8286.2211162495478</v>
      </c>
      <c r="L84">
        <f t="shared" ca="1" si="4"/>
        <v>8085.8710523137388</v>
      </c>
      <c r="M84">
        <f t="shared" ca="1" si="4"/>
        <v>7826.3397574821884</v>
      </c>
      <c r="N84">
        <f t="shared" ca="1" si="4"/>
        <v>7491.9835438566042</v>
      </c>
    </row>
    <row r="86" spans="1:14" x14ac:dyDescent="0.25">
      <c r="B86" t="s">
        <v>226</v>
      </c>
      <c r="G86" t="b">
        <f t="shared" ref="G86:N86" si="5">G77=$F$21</f>
        <v>0</v>
      </c>
      <c r="H86" t="b">
        <f t="shared" si="5"/>
        <v>0</v>
      </c>
      <c r="I86" t="b">
        <f t="shared" si="5"/>
        <v>0</v>
      </c>
      <c r="J86" t="b">
        <f t="shared" si="5"/>
        <v>0</v>
      </c>
      <c r="K86" t="b">
        <f t="shared" si="5"/>
        <v>1</v>
      </c>
      <c r="L86" t="b">
        <f t="shared" si="5"/>
        <v>0</v>
      </c>
      <c r="M86" t="b">
        <f t="shared" si="5"/>
        <v>0</v>
      </c>
      <c r="N86" t="b">
        <f t="shared" si="5"/>
        <v>0</v>
      </c>
    </row>
    <row r="88" spans="1:14" x14ac:dyDescent="0.25">
      <c r="A88" s="60" t="s">
        <v>150</v>
      </c>
    </row>
    <row r="89" spans="1:14" x14ac:dyDescent="0.25">
      <c r="B89" t="s">
        <v>90</v>
      </c>
      <c r="F89">
        <f>C60*-1</f>
        <v>-2878.0045952454402</v>
      </c>
      <c r="G89">
        <f t="shared" ref="G89:N89" si="6">G81*-1*G86</f>
        <v>0</v>
      </c>
      <c r="H89">
        <f t="shared" si="6"/>
        <v>0</v>
      </c>
      <c r="I89">
        <f t="shared" si="6"/>
        <v>0</v>
      </c>
      <c r="J89">
        <f t="shared" si="6"/>
        <v>0</v>
      </c>
      <c r="K89">
        <f t="shared" si="6"/>
        <v>5072.0274626421833</v>
      </c>
      <c r="L89">
        <f t="shared" si="6"/>
        <v>0</v>
      </c>
      <c r="M89">
        <f t="shared" si="6"/>
        <v>0</v>
      </c>
      <c r="N89">
        <f t="shared" si="6"/>
        <v>0</v>
      </c>
    </row>
    <row r="90" spans="1:14" x14ac:dyDescent="0.25">
      <c r="B90" t="s">
        <v>28</v>
      </c>
      <c r="F90">
        <f>C61*C67*-1</f>
        <v>-1440</v>
      </c>
      <c r="G90">
        <f t="shared" ref="G90:N90" ca="1" si="7">G84*$D$67*G86</f>
        <v>0</v>
      </c>
      <c r="H90">
        <f t="shared" ca="1" si="7"/>
        <v>0</v>
      </c>
      <c r="I90">
        <f t="shared" ca="1" si="7"/>
        <v>0</v>
      </c>
      <c r="J90">
        <f t="shared" ca="1" si="7"/>
        <v>0</v>
      </c>
      <c r="K90">
        <f t="shared" ca="1" si="7"/>
        <v>7557.0336580195872</v>
      </c>
      <c r="L90">
        <f t="shared" ca="1" si="7"/>
        <v>0</v>
      </c>
      <c r="M90">
        <f t="shared" ca="1" si="7"/>
        <v>0</v>
      </c>
      <c r="N90">
        <f t="shared" ca="1" si="7"/>
        <v>0</v>
      </c>
    </row>
    <row r="91" spans="1:14" x14ac:dyDescent="0.25">
      <c r="B91" t="s">
        <v>238</v>
      </c>
      <c r="F91">
        <f t="shared" ref="F91:N91" si="8">SUM(F89:F90)</f>
        <v>-4318.0045952454402</v>
      </c>
      <c r="G91">
        <f t="shared" ca="1" si="8"/>
        <v>0</v>
      </c>
      <c r="H91">
        <f t="shared" ca="1" si="8"/>
        <v>0</v>
      </c>
      <c r="I91">
        <f t="shared" ca="1" si="8"/>
        <v>0</v>
      </c>
      <c r="J91">
        <f t="shared" ca="1" si="8"/>
        <v>0</v>
      </c>
      <c r="K91">
        <f t="shared" ca="1" si="8"/>
        <v>12629.06112066177</v>
      </c>
      <c r="L91">
        <f t="shared" ca="1" si="8"/>
        <v>0</v>
      </c>
      <c r="M91">
        <f t="shared" ca="1" si="8"/>
        <v>0</v>
      </c>
      <c r="N91">
        <f t="shared" ca="1" si="8"/>
        <v>0</v>
      </c>
    </row>
    <row r="92" spans="1:14" x14ac:dyDescent="0.25">
      <c r="B92" t="s">
        <v>151</v>
      </c>
      <c r="F92" s="58">
        <f ca="1">IRR(F91:N91)</f>
        <v>0.23941741179134168</v>
      </c>
    </row>
    <row r="93" spans="1:14" x14ac:dyDescent="0.25">
      <c r="B93" t="s">
        <v>152</v>
      </c>
      <c r="F93" s="81">
        <f ca="1">SUM(G91:N91)/F91*-1</f>
        <v>2.9247447153177291</v>
      </c>
    </row>
    <row r="94" spans="1:14" x14ac:dyDescent="0.25">
      <c r="F94" s="58"/>
    </row>
    <row r="95" spans="1:14" x14ac:dyDescent="0.25">
      <c r="A95" s="60" t="s">
        <v>149</v>
      </c>
    </row>
    <row r="96" spans="1:14" x14ac:dyDescent="0.25">
      <c r="B96" t="s">
        <v>153</v>
      </c>
      <c r="F96">
        <f>C59*-1</f>
        <v>-1000</v>
      </c>
      <c r="G96">
        <f t="shared" ref="G96:N96" si="9">G82*-1*G86</f>
        <v>0</v>
      </c>
      <c r="H96">
        <f t="shared" si="9"/>
        <v>0</v>
      </c>
      <c r="I96">
        <f t="shared" si="9"/>
        <v>0</v>
      </c>
      <c r="J96">
        <f t="shared" si="9"/>
        <v>0</v>
      </c>
      <c r="K96">
        <f t="shared" si="9"/>
        <v>1842.4351793000003</v>
      </c>
      <c r="L96">
        <f t="shared" si="9"/>
        <v>0</v>
      </c>
      <c r="M96">
        <f t="shared" si="9"/>
        <v>0</v>
      </c>
      <c r="N96">
        <f t="shared" si="9"/>
        <v>0</v>
      </c>
    </row>
    <row r="97" spans="1:14" x14ac:dyDescent="0.25">
      <c r="B97" t="s">
        <v>28</v>
      </c>
      <c r="G97">
        <f t="shared" ref="G97:N97" ca="1" si="10">G84*$D$68*G86</f>
        <v>0</v>
      </c>
      <c r="H97">
        <f t="shared" ca="1" si="10"/>
        <v>0</v>
      </c>
      <c r="I97">
        <f t="shared" ca="1" si="10"/>
        <v>0</v>
      </c>
      <c r="J97">
        <f t="shared" ca="1" si="10"/>
        <v>0</v>
      </c>
      <c r="K97">
        <f t="shared" ca="1" si="10"/>
        <v>414.31105581247743</v>
      </c>
      <c r="L97">
        <f t="shared" ca="1" si="10"/>
        <v>0</v>
      </c>
      <c r="M97">
        <f t="shared" ca="1" si="10"/>
        <v>0</v>
      </c>
      <c r="N97">
        <f t="shared" ca="1" si="10"/>
        <v>0</v>
      </c>
    </row>
    <row r="98" spans="1:14" x14ac:dyDescent="0.25">
      <c r="B98" t="s">
        <v>238</v>
      </c>
      <c r="F98">
        <f t="shared" ref="F98:N98" si="11">SUM(F96:F97)</f>
        <v>-1000</v>
      </c>
      <c r="G98">
        <f t="shared" ca="1" si="11"/>
        <v>0</v>
      </c>
      <c r="H98">
        <f t="shared" ca="1" si="11"/>
        <v>0</v>
      </c>
      <c r="I98">
        <f t="shared" ca="1" si="11"/>
        <v>0</v>
      </c>
      <c r="J98">
        <f t="shared" ca="1" si="11"/>
        <v>0</v>
      </c>
      <c r="K98">
        <f t="shared" ca="1" si="11"/>
        <v>2256.7462351124777</v>
      </c>
      <c r="L98">
        <f t="shared" ca="1" si="11"/>
        <v>0</v>
      </c>
      <c r="M98">
        <f t="shared" ca="1" si="11"/>
        <v>0</v>
      </c>
      <c r="N98">
        <f t="shared" ca="1" si="11"/>
        <v>0</v>
      </c>
    </row>
    <row r="99" spans="1:14" x14ac:dyDescent="0.25">
      <c r="B99" t="s">
        <v>151</v>
      </c>
      <c r="F99" s="58">
        <f ca="1">IFERROR(IRR(F98:N98),"na")</f>
        <v>0.17678343203936309</v>
      </c>
    </row>
    <row r="100" spans="1:14" x14ac:dyDescent="0.25">
      <c r="B100" t="s">
        <v>152</v>
      </c>
      <c r="F100" s="81">
        <f ca="1">IFERROR(SUM(G98:N98)/F98*-1,"na")</f>
        <v>2.2567462351124776</v>
      </c>
    </row>
    <row r="102" spans="1:14" x14ac:dyDescent="0.25">
      <c r="A102" s="60" t="s">
        <v>93</v>
      </c>
    </row>
    <row r="103" spans="1:14" x14ac:dyDescent="0.25">
      <c r="B103" t="s">
        <v>28</v>
      </c>
      <c r="F103">
        <f>C66*C61*-1</f>
        <v>-60</v>
      </c>
      <c r="G103">
        <f t="shared" ref="G103:N103" ca="1" si="12">G84*$D$66*G86</f>
        <v>0</v>
      </c>
      <c r="H103">
        <f t="shared" ca="1" si="12"/>
        <v>0</v>
      </c>
      <c r="I103">
        <f t="shared" ca="1" si="12"/>
        <v>0</v>
      </c>
      <c r="J103">
        <f t="shared" ca="1" si="12"/>
        <v>0</v>
      </c>
      <c r="K103">
        <f t="shared" ca="1" si="12"/>
        <v>314.87640241748346</v>
      </c>
      <c r="L103">
        <f t="shared" ca="1" si="12"/>
        <v>0</v>
      </c>
      <c r="M103">
        <f t="shared" ca="1" si="12"/>
        <v>0</v>
      </c>
      <c r="N103">
        <f t="shared" ca="1" si="12"/>
        <v>0</v>
      </c>
    </row>
    <row r="104" spans="1:14" x14ac:dyDescent="0.25">
      <c r="B104" t="s">
        <v>151</v>
      </c>
      <c r="F104" s="58">
        <f ca="1">IRR(F103:N103)</f>
        <v>0.39314965868036067</v>
      </c>
    </row>
    <row r="105" spans="1:14" x14ac:dyDescent="0.25">
      <c r="B105" t="s">
        <v>152</v>
      </c>
      <c r="F105" s="81">
        <f ca="1">SUM(G103:N103)/F103*-1</f>
        <v>5.2479400402913914</v>
      </c>
    </row>
    <row r="106" spans="1:14" x14ac:dyDescent="0.25">
      <c r="I106" s="81"/>
    </row>
    <row r="107" spans="1:14" x14ac:dyDescent="0.25">
      <c r="A107" s="60" t="s">
        <v>172</v>
      </c>
    </row>
    <row r="108" spans="1:14" x14ac:dyDescent="0.25">
      <c r="A108" s="60"/>
    </row>
    <row r="109" spans="1:14" x14ac:dyDescent="0.25">
      <c r="F109" s="85" t="s">
        <v>220</v>
      </c>
    </row>
    <row r="110" spans="1:14" x14ac:dyDescent="0.25">
      <c r="C110" s="58">
        <f ca="1">F92</f>
        <v>0.23941741179134168</v>
      </c>
      <c r="D110" s="87">
        <v>0.02</v>
      </c>
      <c r="E110" s="87">
        <v>2.5000000000000001E-2</v>
      </c>
      <c r="F110" s="87">
        <v>0.03</v>
      </c>
      <c r="G110" s="87">
        <v>3.5000000000000003E-2</v>
      </c>
      <c r="H110" s="87">
        <v>0.04</v>
      </c>
    </row>
    <row r="111" spans="1:14" x14ac:dyDescent="0.25">
      <c r="C111" s="89">
        <f>C112-0.05</f>
        <v>0.49999999999999994</v>
      </c>
      <c r="D111" s="58">
        <f t="dataTable" ref="D111:H115" dt2D="1" dtr="1" r1="F23" r2="F7" ca="1"/>
        <v>0.18399756762292463</v>
      </c>
      <c r="E111" s="58">
        <v>0.21935890051738061</v>
      </c>
      <c r="F111" s="58">
        <v>0.25101935680078324</v>
      </c>
      <c r="G111" s="58">
        <v>0.27976556939058117</v>
      </c>
      <c r="H111" s="58">
        <v>0.30615872176719638</v>
      </c>
    </row>
    <row r="112" spans="1:14" x14ac:dyDescent="0.25">
      <c r="C112" s="89">
        <f>C113-0.05</f>
        <v>0.54999999999999993</v>
      </c>
      <c r="D112" s="58">
        <v>0.17933242842822561</v>
      </c>
      <c r="E112" s="58">
        <v>0.21392260959694243</v>
      </c>
      <c r="F112" s="58">
        <v>0.24494944221045722</v>
      </c>
      <c r="G112" s="58">
        <v>0.2731600224638111</v>
      </c>
      <c r="H112" s="58">
        <v>0.29909009308154189</v>
      </c>
    </row>
    <row r="113" spans="1:8" x14ac:dyDescent="0.25">
      <c r="B113" s="85" t="s">
        <v>173</v>
      </c>
      <c r="C113" s="89">
        <v>0.6</v>
      </c>
      <c r="D113" s="58">
        <v>0.17509572244468452</v>
      </c>
      <c r="E113" s="58">
        <v>0.20897563622815096</v>
      </c>
      <c r="F113" s="58">
        <v>0.23941741179134146</v>
      </c>
      <c r="G113" s="58">
        <v>0.26713255571020045</v>
      </c>
      <c r="H113" s="58">
        <v>0.29263376575942135</v>
      </c>
    </row>
    <row r="114" spans="1:8" x14ac:dyDescent="0.25">
      <c r="C114" s="89">
        <f>C113+0.05</f>
        <v>0.65</v>
      </c>
      <c r="D114" s="58">
        <v>0.17123044487482653</v>
      </c>
      <c r="E114" s="58">
        <v>0.20445389158394778</v>
      </c>
      <c r="F114" s="58">
        <v>0.23435364389309066</v>
      </c>
      <c r="G114" s="58">
        <v>0.26160902976202127</v>
      </c>
      <c r="H114" s="58">
        <v>0.28671178734711966</v>
      </c>
    </row>
    <row r="115" spans="1:8" x14ac:dyDescent="0.25">
      <c r="C115" s="89">
        <f>C114+0.05</f>
        <v>0.70000000000000007</v>
      </c>
      <c r="D115" s="58">
        <v>0.16768935909327576</v>
      </c>
      <c r="E115" s="58">
        <v>0.20030413489162013</v>
      </c>
      <c r="F115" s="58">
        <v>0.22970019704150335</v>
      </c>
      <c r="G115" s="58">
        <v>0.25652766012874073</v>
      </c>
      <c r="H115" s="58">
        <v>0.28125912788318352</v>
      </c>
    </row>
    <row r="117" spans="1:8" ht="15.75" x14ac:dyDescent="0.25">
      <c r="A117" s="84" t="s">
        <v>163</v>
      </c>
    </row>
  </sheetData>
  <dataValidations disablePrompts="1" count="1">
    <dataValidation type="list" allowBlank="1" showInputMessage="1" showErrorMessage="1" sqref="D51" xr:uid="{9E965CFA-8736-4997-ABC6-8A2CF349343F}">
      <formula1>"1,2"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17"/>
  <sheetViews>
    <sheetView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e" cm="1">
        <f t="array" aca="1" ref="A3" ca="1">MID(CELL("filename",#REF!),FIND("]",CELL("filename",#REF!))+1,255)</f>
        <v>#REF!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K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ref="L3" si="1">EDATE(K3,12)</f>
        <v>46691</v>
      </c>
      <c r="M3" s="11">
        <f t="shared" ref="M3" si="2">EDATE(L3,12)</f>
        <v>47057</v>
      </c>
      <c r="N3" s="11">
        <f t="shared" ref="N3" si="3">EDATE(M3,12)</f>
        <v>47422</v>
      </c>
    </row>
    <row r="5" spans="1:14" x14ac:dyDescent="0.25">
      <c r="B5" t="s">
        <v>249</v>
      </c>
      <c r="C5" s="93">
        <v>2</v>
      </c>
    </row>
    <row r="7" spans="1:14" x14ac:dyDescent="0.25">
      <c r="A7" s="60" t="s">
        <v>58</v>
      </c>
      <c r="C7" s="58"/>
    </row>
    <row r="8" spans="1:14" x14ac:dyDescent="0.25">
      <c r="A8" s="60"/>
      <c r="B8" t="s">
        <v>231</v>
      </c>
      <c r="C8" s="58"/>
      <c r="G8" s="70">
        <v>0.01</v>
      </c>
      <c r="H8" s="70">
        <v>0.02</v>
      </c>
      <c r="I8" s="70">
        <v>2.5000000000000001E-2</v>
      </c>
      <c r="J8" s="70">
        <f t="shared" ref="J8:J9" si="4">I8</f>
        <v>2.5000000000000001E-2</v>
      </c>
      <c r="K8" s="70">
        <f t="shared" ref="K8:K9" si="5">J8</f>
        <v>2.5000000000000001E-2</v>
      </c>
      <c r="L8" s="70">
        <f t="shared" ref="L8:L9" si="6">K8</f>
        <v>2.5000000000000001E-2</v>
      </c>
      <c r="M8" s="70">
        <f t="shared" ref="M8:M9" si="7">L8</f>
        <v>2.5000000000000001E-2</v>
      </c>
      <c r="N8" s="70">
        <f t="shared" ref="N8:N9" si="8">M8</f>
        <v>2.5000000000000001E-2</v>
      </c>
    </row>
    <row r="9" spans="1:14" x14ac:dyDescent="0.25">
      <c r="A9" s="60"/>
      <c r="B9" t="s">
        <v>232</v>
      </c>
      <c r="C9" s="58"/>
      <c r="G9" s="70">
        <v>0.03</v>
      </c>
      <c r="H9" s="70">
        <f>G9</f>
        <v>0.03</v>
      </c>
      <c r="I9" s="70">
        <f t="shared" ref="I9" si="9">H9</f>
        <v>0.03</v>
      </c>
      <c r="J9" s="70">
        <f t="shared" si="4"/>
        <v>0.03</v>
      </c>
      <c r="K9" s="70">
        <f t="shared" si="5"/>
        <v>0.03</v>
      </c>
      <c r="L9" s="70">
        <f t="shared" si="6"/>
        <v>0.03</v>
      </c>
      <c r="M9" s="70">
        <f t="shared" si="7"/>
        <v>0.03</v>
      </c>
      <c r="N9" s="70">
        <f t="shared" si="8"/>
        <v>0.03</v>
      </c>
    </row>
    <row r="10" spans="1:14" x14ac:dyDescent="0.25">
      <c r="A10" s="60"/>
      <c r="B10" t="s">
        <v>146</v>
      </c>
      <c r="C10" s="58"/>
      <c r="G10" s="58" cm="1">
        <f t="array" ref="G10">INDEX(G8:G9,$C$5,)</f>
        <v>0.03</v>
      </c>
      <c r="H10" s="58" cm="1">
        <f t="array" ref="H10">INDEX(H8:H9,$C$5,)</f>
        <v>0.03</v>
      </c>
      <c r="I10" s="58" cm="1">
        <f t="array" ref="I10">INDEX(I8:I9,$C$5,)</f>
        <v>0.03</v>
      </c>
      <c r="J10" s="58" cm="1">
        <f t="array" ref="J10">INDEX(J8:J9,$C$5,)</f>
        <v>0.03</v>
      </c>
      <c r="K10" s="58" cm="1">
        <f t="array" ref="K10">INDEX(K8:K9,$C$5,)</f>
        <v>0.03</v>
      </c>
      <c r="L10" s="58" cm="1">
        <f t="array" ref="L10">INDEX(L8:L9,$C$5,)</f>
        <v>0.03</v>
      </c>
      <c r="M10" s="58" cm="1">
        <f t="array" ref="M10">INDEX(M8:M9,$C$5,)</f>
        <v>0.03</v>
      </c>
      <c r="N10" s="58" cm="1">
        <f t="array" ref="N10">INDEX(N8:N9,$C$5,)</f>
        <v>0.03</v>
      </c>
    </row>
    <row r="11" spans="1:14" x14ac:dyDescent="0.25">
      <c r="A11" s="60"/>
      <c r="B11" t="s">
        <v>233</v>
      </c>
      <c r="C11" s="58"/>
      <c r="G11" s="70">
        <v>-0.98</v>
      </c>
      <c r="H11" s="70">
        <f>G11</f>
        <v>-0.98</v>
      </c>
      <c r="I11" s="70">
        <f t="shared" ref="I11:N11" si="10">H11</f>
        <v>-0.98</v>
      </c>
      <c r="J11" s="70">
        <f t="shared" si="10"/>
        <v>-0.98</v>
      </c>
      <c r="K11" s="70">
        <f t="shared" si="10"/>
        <v>-0.98</v>
      </c>
      <c r="L11" s="70">
        <f t="shared" si="10"/>
        <v>-0.98</v>
      </c>
      <c r="M11" s="70">
        <f t="shared" si="10"/>
        <v>-0.98</v>
      </c>
      <c r="N11" s="70">
        <f t="shared" si="10"/>
        <v>-0.98</v>
      </c>
    </row>
    <row r="12" spans="1:14" x14ac:dyDescent="0.25">
      <c r="A12" s="60"/>
      <c r="B12" t="s">
        <v>234</v>
      </c>
      <c r="C12" s="58"/>
      <c r="G12" s="70">
        <v>-0.97619180063414368</v>
      </c>
      <c r="H12" s="70">
        <v>-0.97619180063414368</v>
      </c>
      <c r="I12" s="70">
        <v>-0.97619180063414368</v>
      </c>
      <c r="J12" s="70">
        <v>-0.97619180063414368</v>
      </c>
      <c r="K12" s="70">
        <v>-0.97619180063414368</v>
      </c>
      <c r="L12" s="70">
        <v>-0.97619180063414368</v>
      </c>
      <c r="M12" s="70">
        <v>-0.97619180063414368</v>
      </c>
      <c r="N12" s="70">
        <v>-0.97619180063414368</v>
      </c>
    </row>
    <row r="13" spans="1:14" x14ac:dyDescent="0.25">
      <c r="A13" s="60"/>
      <c r="B13" t="s">
        <v>145</v>
      </c>
      <c r="C13" s="58">
        <f>IS!C6/IS!C5</f>
        <v>-0.97619180063414368</v>
      </c>
      <c r="G13" s="58" cm="1">
        <f t="array" ref="G13">INDEX(G11:G12,$C$5,)</f>
        <v>-0.97619180063414368</v>
      </c>
      <c r="H13" s="58" cm="1">
        <f t="array" ref="H13">INDEX(H11:H12,$C$5,)</f>
        <v>-0.97619180063414368</v>
      </c>
      <c r="I13" s="58" cm="1">
        <f t="array" ref="I13">INDEX(I11:I12,$C$5,)</f>
        <v>-0.97619180063414368</v>
      </c>
      <c r="J13" s="58" cm="1">
        <f t="array" ref="J13">INDEX(J11:J12,$C$5,)</f>
        <v>-0.97619180063414368</v>
      </c>
      <c r="K13" s="58" cm="1">
        <f t="array" ref="K13">INDEX(K11:K12,$C$5,)</f>
        <v>-0.97619180063414368</v>
      </c>
      <c r="L13" s="58" cm="1">
        <f t="array" ref="L13">INDEX(L11:L12,$C$5,)</f>
        <v>-0.97619180063414368</v>
      </c>
      <c r="M13" s="58" cm="1">
        <f t="array" ref="M13">INDEX(M11:M12,$C$5,)</f>
        <v>-0.97619180063414368</v>
      </c>
      <c r="N13" s="58" cm="1">
        <f t="array" ref="N13">INDEX(N11:N12,$C$5,)</f>
        <v>-0.97619180063414368</v>
      </c>
    </row>
    <row r="14" spans="1:14" x14ac:dyDescent="0.25">
      <c r="A14" s="60"/>
      <c r="B14" t="s">
        <v>18</v>
      </c>
      <c r="C14" s="58">
        <f>IS!C8/IS!C5</f>
        <v>-1.4184791678255549E-2</v>
      </c>
      <c r="G14" s="70">
        <v>-1.4E-2</v>
      </c>
      <c r="H14" s="70">
        <v>-1.4E-2</v>
      </c>
      <c r="I14" s="70">
        <v>-1.4E-2</v>
      </c>
      <c r="J14" s="70">
        <v>-1.4E-2</v>
      </c>
      <c r="K14" s="70">
        <v>-1.4E-2</v>
      </c>
      <c r="L14" s="70">
        <v>-1.4E-2</v>
      </c>
      <c r="M14" s="70">
        <v>-1.4E-2</v>
      </c>
      <c r="N14" s="70">
        <v>-1.4E-2</v>
      </c>
    </row>
    <row r="15" spans="1:14" x14ac:dyDescent="0.25">
      <c r="A15" s="60"/>
      <c r="B15" t="s">
        <v>175</v>
      </c>
      <c r="C15" s="58"/>
      <c r="G15" s="58">
        <f>MIN(COLUMNS($G$15:G15),LBO!$F$24)*LBO!$F$23/LBO!$F$24</f>
        <v>0.01</v>
      </c>
      <c r="H15" s="58">
        <f>MIN(COLUMNS($G$15:H15),LBO!$F$24)*LBO!$F$23/LBO!$F$24</f>
        <v>0.02</v>
      </c>
      <c r="I15" s="58">
        <f>MIN(COLUMNS($G$15:I15),LBO!$F$24)*LBO!$F$23/LBO!$F$24</f>
        <v>0.03</v>
      </c>
      <c r="J15" s="58">
        <f>MIN(COLUMNS($G$15:J15),LBO!$F$24)*LBO!$F$23/LBO!$F$24</f>
        <v>0.03</v>
      </c>
      <c r="K15" s="58">
        <f>MIN(COLUMNS($G$15:K15),LBO!$F$24)*LBO!$F$23/LBO!$F$24</f>
        <v>0.03</v>
      </c>
      <c r="L15" s="58">
        <f>MIN(COLUMNS($G$15:L15),LBO!$F$24)*LBO!$F$23/LBO!$F$24</f>
        <v>0.03</v>
      </c>
      <c r="M15" s="58">
        <f>MIN(COLUMNS($G$15:M15),LBO!$F$24)*LBO!$F$23/LBO!$F$24</f>
        <v>0.03</v>
      </c>
      <c r="N15" s="58">
        <f>MIN(COLUMNS($G$15:N15),LBO!$F$24)*LBO!$F$23/LBO!$F$24</f>
        <v>0.03</v>
      </c>
    </row>
    <row r="16" spans="1:14" x14ac:dyDescent="0.25">
      <c r="B16" t="s">
        <v>196</v>
      </c>
      <c r="C16" s="58"/>
      <c r="D16" s="58"/>
      <c r="E16" s="58"/>
      <c r="F16" s="58"/>
      <c r="G16" s="76">
        <v>-0.06</v>
      </c>
      <c r="H16" s="76">
        <f>G16</f>
        <v>-0.06</v>
      </c>
      <c r="I16" s="76">
        <f t="shared" ref="I16:N16" si="11">H16</f>
        <v>-0.06</v>
      </c>
      <c r="J16" s="76">
        <f t="shared" si="11"/>
        <v>-0.06</v>
      </c>
      <c r="K16" s="76">
        <f t="shared" si="11"/>
        <v>-0.06</v>
      </c>
      <c r="L16" s="76">
        <f t="shared" si="11"/>
        <v>-0.06</v>
      </c>
      <c r="M16" s="76">
        <f t="shared" si="11"/>
        <v>-0.06</v>
      </c>
      <c r="N16" s="76">
        <f t="shared" si="11"/>
        <v>-0.06</v>
      </c>
    </row>
    <row r="17" spans="1:14" x14ac:dyDescent="0.25">
      <c r="B17" t="s">
        <v>209</v>
      </c>
      <c r="D17" s="58"/>
      <c r="E17" s="58"/>
      <c r="F17" s="58"/>
      <c r="G17" s="70">
        <v>-0.15</v>
      </c>
      <c r="H17" s="70">
        <v>-0.15</v>
      </c>
      <c r="I17" s="70">
        <v>-0.15</v>
      </c>
      <c r="J17" s="70">
        <v>-0.15</v>
      </c>
      <c r="K17" s="70">
        <v>-0.15</v>
      </c>
      <c r="L17" s="70">
        <v>-0.15</v>
      </c>
      <c r="M17" s="70">
        <v>-0.15</v>
      </c>
      <c r="N17" s="70">
        <v>-0.15</v>
      </c>
    </row>
    <row r="18" spans="1:14" x14ac:dyDescent="0.25">
      <c r="B18" t="s">
        <v>182</v>
      </c>
      <c r="C18">
        <f>IS!C9</f>
        <v>-49</v>
      </c>
      <c r="D18" s="58"/>
      <c r="E18" s="58"/>
      <c r="F18" s="58"/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</row>
    <row r="19" spans="1:14" x14ac:dyDescent="0.25">
      <c r="B19" t="s">
        <v>192</v>
      </c>
      <c r="D19" s="58"/>
      <c r="E19" s="58"/>
      <c r="F19" s="58"/>
      <c r="G19" s="70">
        <v>3.5000000000000003E-2</v>
      </c>
      <c r="H19" s="70">
        <v>3.5000000000000003E-2</v>
      </c>
      <c r="I19" s="70">
        <v>3.5000000000000003E-2</v>
      </c>
      <c r="J19" s="70">
        <v>3.5000000000000003E-2</v>
      </c>
      <c r="K19" s="70">
        <v>3.5000000000000003E-2</v>
      </c>
      <c r="L19" s="70">
        <v>3.5000000000000003E-2</v>
      </c>
      <c r="M19" s="70">
        <v>3.5000000000000003E-2</v>
      </c>
      <c r="N19" s="70">
        <v>3.5000000000000003E-2</v>
      </c>
    </row>
    <row r="20" spans="1:14" x14ac:dyDescent="0.25">
      <c r="B20" t="s">
        <v>197</v>
      </c>
      <c r="D20" s="58"/>
      <c r="E20" s="58"/>
      <c r="F20" s="58"/>
      <c r="G20" s="70">
        <v>-0.04</v>
      </c>
      <c r="H20" s="70">
        <v>-0.04</v>
      </c>
      <c r="I20" s="70">
        <v>-0.04</v>
      </c>
      <c r="J20" s="70">
        <v>-0.04</v>
      </c>
      <c r="K20" s="70">
        <v>-0.04</v>
      </c>
      <c r="L20" s="70">
        <v>-0.04</v>
      </c>
      <c r="M20" s="70">
        <v>-0.04</v>
      </c>
      <c r="N20" s="70">
        <v>-0.04</v>
      </c>
    </row>
    <row r="21" spans="1:14" x14ac:dyDescent="0.25">
      <c r="B21" t="s">
        <v>19</v>
      </c>
      <c r="C21" s="58">
        <f>IS!C14/IS!C13*-1</f>
        <v>-1.0434782608695652</v>
      </c>
      <c r="D21" s="58"/>
      <c r="E21" s="58"/>
      <c r="F21" s="58"/>
      <c r="G21" s="76">
        <v>-0.05</v>
      </c>
      <c r="H21" s="76">
        <v>-0.19</v>
      </c>
      <c r="I21" s="76">
        <f>H21</f>
        <v>-0.19</v>
      </c>
      <c r="J21" s="76">
        <f t="shared" ref="J21:N21" si="12">I21</f>
        <v>-0.19</v>
      </c>
      <c r="K21" s="76">
        <f t="shared" si="12"/>
        <v>-0.19</v>
      </c>
      <c r="L21" s="76">
        <f t="shared" si="12"/>
        <v>-0.19</v>
      </c>
      <c r="M21" s="76">
        <f t="shared" si="12"/>
        <v>-0.19</v>
      </c>
      <c r="N21" s="76">
        <f t="shared" si="12"/>
        <v>-0.19</v>
      </c>
    </row>
    <row r="23" spans="1:14" x14ac:dyDescent="0.25">
      <c r="A23" s="60" t="s">
        <v>20</v>
      </c>
    </row>
    <row r="24" spans="1:14" x14ac:dyDescent="0.25">
      <c r="B24" t="s">
        <v>21</v>
      </c>
      <c r="C24">
        <f>BS!C7/IS!C6*365</f>
        <v>-18.760613140349879</v>
      </c>
      <c r="G24" s="66">
        <f>C24</f>
        <v>-18.760613140349879</v>
      </c>
      <c r="H24" s="66">
        <f>G24</f>
        <v>-18.760613140349879</v>
      </c>
      <c r="I24" s="66">
        <f t="shared" ref="I24:N24" si="13">H24</f>
        <v>-18.760613140349879</v>
      </c>
      <c r="J24" s="66">
        <f t="shared" si="13"/>
        <v>-18.760613140349879</v>
      </c>
      <c r="K24" s="66">
        <f t="shared" si="13"/>
        <v>-18.760613140349879</v>
      </c>
      <c r="L24" s="66">
        <f t="shared" si="13"/>
        <v>-18.760613140349879</v>
      </c>
      <c r="M24" s="66">
        <f t="shared" si="13"/>
        <v>-18.760613140349879</v>
      </c>
      <c r="N24" s="66">
        <f t="shared" si="13"/>
        <v>-18.760613140349879</v>
      </c>
    </row>
    <row r="25" spans="1:14" x14ac:dyDescent="0.25">
      <c r="B25" t="s">
        <v>22</v>
      </c>
      <c r="C25">
        <f>BS!C6/IS!C5*365</f>
        <v>9.7457862824720483</v>
      </c>
      <c r="G25" s="66">
        <f t="shared" ref="G25:G33" si="14">C25</f>
        <v>9.7457862824720483</v>
      </c>
      <c r="H25" s="66">
        <f t="shared" ref="H25:N25" si="15">G25</f>
        <v>9.7457862824720483</v>
      </c>
      <c r="I25" s="66">
        <f t="shared" si="15"/>
        <v>9.7457862824720483</v>
      </c>
      <c r="J25" s="66">
        <f t="shared" si="15"/>
        <v>9.7457862824720483</v>
      </c>
      <c r="K25" s="66">
        <f t="shared" si="15"/>
        <v>9.7457862824720483</v>
      </c>
      <c r="L25" s="66">
        <f t="shared" si="15"/>
        <v>9.7457862824720483</v>
      </c>
      <c r="M25" s="66">
        <f t="shared" si="15"/>
        <v>9.7457862824720483</v>
      </c>
      <c r="N25" s="66">
        <f t="shared" si="15"/>
        <v>9.7457862824720483</v>
      </c>
    </row>
    <row r="26" spans="1:14" x14ac:dyDescent="0.25">
      <c r="B26" t="s">
        <v>23</v>
      </c>
      <c r="C26" s="62">
        <f>BS!C8/IS!C5</f>
        <v>1.8913055571007399E-3</v>
      </c>
      <c r="D26" s="62"/>
      <c r="E26" s="62"/>
      <c r="F26" s="62"/>
      <c r="G26" s="70">
        <f t="shared" si="14"/>
        <v>1.8913055571007399E-3</v>
      </c>
      <c r="H26" s="70">
        <f t="shared" ref="H26:N26" si="16">G26</f>
        <v>1.8913055571007399E-3</v>
      </c>
      <c r="I26" s="70">
        <f t="shared" si="16"/>
        <v>1.8913055571007399E-3</v>
      </c>
      <c r="J26" s="70">
        <f t="shared" si="16"/>
        <v>1.8913055571007399E-3</v>
      </c>
      <c r="K26" s="70">
        <f t="shared" si="16"/>
        <v>1.8913055571007399E-3</v>
      </c>
      <c r="L26" s="70">
        <f t="shared" si="16"/>
        <v>1.8913055571007399E-3</v>
      </c>
      <c r="M26" s="70">
        <f t="shared" si="16"/>
        <v>1.8913055571007399E-3</v>
      </c>
      <c r="N26" s="70">
        <f t="shared" si="16"/>
        <v>1.8913055571007399E-3</v>
      </c>
    </row>
    <row r="27" spans="1:14" x14ac:dyDescent="0.25">
      <c r="B27" t="s">
        <v>24</v>
      </c>
      <c r="C27" s="62">
        <f>Calc!C7/IS!C5</f>
        <v>2.0025588251654892E-2</v>
      </c>
      <c r="D27" s="75"/>
      <c r="E27" s="62"/>
      <c r="F27" s="62"/>
      <c r="G27" s="70">
        <f t="shared" si="14"/>
        <v>2.0025588251654892E-2</v>
      </c>
      <c r="H27" s="70">
        <f t="shared" ref="H27:N28" si="17">G27</f>
        <v>2.0025588251654892E-2</v>
      </c>
      <c r="I27" s="70">
        <f t="shared" si="17"/>
        <v>2.0025588251654892E-2</v>
      </c>
      <c r="J27" s="70">
        <f t="shared" si="17"/>
        <v>2.0025588251654892E-2</v>
      </c>
      <c r="K27" s="70">
        <f t="shared" si="17"/>
        <v>2.0025588251654892E-2</v>
      </c>
      <c r="L27" s="70">
        <f t="shared" si="17"/>
        <v>2.0025588251654892E-2</v>
      </c>
      <c r="M27" s="70">
        <f t="shared" si="17"/>
        <v>2.0025588251654892E-2</v>
      </c>
      <c r="N27" s="70">
        <f t="shared" si="17"/>
        <v>2.0025588251654892E-2</v>
      </c>
    </row>
    <row r="28" spans="1:14" x14ac:dyDescent="0.25">
      <c r="B28" t="s">
        <v>198</v>
      </c>
      <c r="C28" s="62"/>
      <c r="D28" s="75"/>
      <c r="E28" s="62"/>
      <c r="F28" s="62"/>
      <c r="G28" s="70">
        <v>5.0000000000000001E-3</v>
      </c>
      <c r="H28" s="70">
        <f t="shared" si="17"/>
        <v>5.0000000000000001E-3</v>
      </c>
      <c r="I28" s="70">
        <f t="shared" si="17"/>
        <v>5.0000000000000001E-3</v>
      </c>
      <c r="J28" s="70">
        <f t="shared" si="17"/>
        <v>5.0000000000000001E-3</v>
      </c>
      <c r="K28" s="70">
        <f t="shared" si="17"/>
        <v>5.0000000000000001E-3</v>
      </c>
      <c r="L28" s="70">
        <f t="shared" si="17"/>
        <v>5.0000000000000001E-3</v>
      </c>
      <c r="M28" s="70">
        <f t="shared" si="17"/>
        <v>5.0000000000000001E-3</v>
      </c>
      <c r="N28" s="70">
        <f t="shared" si="17"/>
        <v>5.0000000000000001E-3</v>
      </c>
    </row>
    <row r="29" spans="1:14" x14ac:dyDescent="0.25">
      <c r="B29" s="79" t="s">
        <v>147</v>
      </c>
      <c r="C29">
        <f>BS!C13</f>
        <v>310</v>
      </c>
      <c r="D29" s="62"/>
      <c r="E29" s="62"/>
      <c r="F29" s="62"/>
      <c r="G29" s="66">
        <f t="shared" si="14"/>
        <v>310</v>
      </c>
      <c r="H29" s="66">
        <f t="shared" ref="H29:N29" si="18">G29</f>
        <v>310</v>
      </c>
      <c r="I29" s="66">
        <f t="shared" si="18"/>
        <v>310</v>
      </c>
      <c r="J29" s="66">
        <f t="shared" si="18"/>
        <v>310</v>
      </c>
      <c r="K29" s="66">
        <f t="shared" si="18"/>
        <v>310</v>
      </c>
      <c r="L29" s="66">
        <f t="shared" si="18"/>
        <v>310</v>
      </c>
      <c r="M29" s="66">
        <f t="shared" si="18"/>
        <v>310</v>
      </c>
      <c r="N29" s="66">
        <f t="shared" si="18"/>
        <v>310</v>
      </c>
    </row>
    <row r="30" spans="1:14" x14ac:dyDescent="0.25">
      <c r="B30" t="s">
        <v>113</v>
      </c>
      <c r="C30">
        <f>BS!C14</f>
        <v>1214</v>
      </c>
      <c r="G30" s="66">
        <f t="shared" si="14"/>
        <v>1214</v>
      </c>
      <c r="H30" s="66">
        <f t="shared" ref="H30:N30" si="19">G30</f>
        <v>1214</v>
      </c>
      <c r="I30" s="66">
        <f t="shared" si="19"/>
        <v>1214</v>
      </c>
      <c r="J30" s="66">
        <f t="shared" si="19"/>
        <v>1214</v>
      </c>
      <c r="K30" s="66">
        <f t="shared" si="19"/>
        <v>1214</v>
      </c>
      <c r="L30" s="66">
        <f t="shared" si="19"/>
        <v>1214</v>
      </c>
      <c r="M30" s="66">
        <f t="shared" si="19"/>
        <v>1214</v>
      </c>
      <c r="N30" s="66">
        <f t="shared" si="19"/>
        <v>1214</v>
      </c>
    </row>
    <row r="31" spans="1:14" x14ac:dyDescent="0.25">
      <c r="B31" t="s">
        <v>25</v>
      </c>
      <c r="C31">
        <f>BS!C19/IS!C6*365</f>
        <v>-55.325089748703626</v>
      </c>
      <c r="G31" s="66">
        <f t="shared" si="14"/>
        <v>-55.325089748703626</v>
      </c>
      <c r="H31" s="66">
        <f t="shared" ref="H31:N31" si="20">G31</f>
        <v>-55.325089748703626</v>
      </c>
      <c r="I31" s="66">
        <f t="shared" si="20"/>
        <v>-55.325089748703626</v>
      </c>
      <c r="J31" s="66">
        <f t="shared" si="20"/>
        <v>-55.325089748703626</v>
      </c>
      <c r="K31" s="66">
        <f t="shared" si="20"/>
        <v>-55.325089748703626</v>
      </c>
      <c r="L31" s="66">
        <f t="shared" si="20"/>
        <v>-55.325089748703626</v>
      </c>
      <c r="M31" s="66">
        <f t="shared" si="20"/>
        <v>-55.325089748703626</v>
      </c>
      <c r="N31" s="66">
        <f t="shared" si="20"/>
        <v>-55.325089748703626</v>
      </c>
    </row>
    <row r="32" spans="1:14" x14ac:dyDescent="0.25">
      <c r="B32" t="s">
        <v>124</v>
      </c>
      <c r="C32" s="58">
        <f>BS!C20/IS!C5</f>
        <v>2.9482116037158591E-2</v>
      </c>
      <c r="G32" s="70">
        <f t="shared" si="14"/>
        <v>2.9482116037158591E-2</v>
      </c>
      <c r="H32" s="70">
        <f t="shared" ref="H32:N32" si="21">G32</f>
        <v>2.9482116037158591E-2</v>
      </c>
      <c r="I32" s="70">
        <f t="shared" si="21"/>
        <v>2.9482116037158591E-2</v>
      </c>
      <c r="J32" s="70">
        <f t="shared" si="21"/>
        <v>2.9482116037158591E-2</v>
      </c>
      <c r="K32" s="70">
        <f t="shared" si="21"/>
        <v>2.9482116037158591E-2</v>
      </c>
      <c r="L32" s="70">
        <f t="shared" si="21"/>
        <v>2.9482116037158591E-2</v>
      </c>
      <c r="M32" s="70">
        <f t="shared" si="21"/>
        <v>2.9482116037158591E-2</v>
      </c>
      <c r="N32" s="70">
        <f t="shared" si="21"/>
        <v>2.9482116037158591E-2</v>
      </c>
    </row>
    <row r="33" spans="1:14" x14ac:dyDescent="0.25">
      <c r="B33" t="s">
        <v>114</v>
      </c>
      <c r="C33">
        <f>BS!C30</f>
        <v>831</v>
      </c>
      <c r="G33" s="66">
        <f t="shared" si="14"/>
        <v>831</v>
      </c>
      <c r="H33" s="66">
        <f t="shared" ref="H33:N33" si="22">G33</f>
        <v>831</v>
      </c>
      <c r="I33" s="66">
        <f t="shared" si="22"/>
        <v>831</v>
      </c>
      <c r="J33" s="66">
        <f t="shared" si="22"/>
        <v>831</v>
      </c>
      <c r="K33" s="66">
        <f t="shared" si="22"/>
        <v>831</v>
      </c>
      <c r="L33" s="66">
        <f t="shared" si="22"/>
        <v>831</v>
      </c>
      <c r="M33" s="66">
        <f t="shared" si="22"/>
        <v>831</v>
      </c>
      <c r="N33" s="66">
        <f t="shared" si="22"/>
        <v>831</v>
      </c>
    </row>
    <row r="35" spans="1:14" ht="15.75" x14ac:dyDescent="0.25">
      <c r="A35" s="84" t="s">
        <v>163</v>
      </c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7" customFormat="1" x14ac:dyDescent="0.25"/>
  </sheetData>
  <dataValidations disablePrompts="1" count="1">
    <dataValidation type="list" allowBlank="1" showInputMessage="1" showErrorMessage="1" sqref="C5" xr:uid="{54471503-A032-407D-855E-F275AFD0008D}">
      <formula1>"1,2"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s">
        <v>159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N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si="0"/>
        <v>46691</v>
      </c>
      <c r="M3" s="11">
        <f t="shared" si="0"/>
        <v>47057</v>
      </c>
      <c r="N3" s="11">
        <f t="shared" si="0"/>
        <v>47422</v>
      </c>
    </row>
    <row r="5" spans="1:14" x14ac:dyDescent="0.25">
      <c r="A5" s="60" t="s">
        <v>207</v>
      </c>
    </row>
    <row r="6" spans="1:14" x14ac:dyDescent="0.25">
      <c r="B6" t="s">
        <v>26</v>
      </c>
      <c r="G6">
        <f>F9</f>
        <v>6324</v>
      </c>
      <c r="H6">
        <f>G9</f>
        <v>6315.3600000000006</v>
      </c>
      <c r="I6">
        <f t="shared" ref="I6:N6" si="1">H9</f>
        <v>6318.3624000000009</v>
      </c>
      <c r="J6">
        <f t="shared" si="1"/>
        <v>6332.6423760000016</v>
      </c>
      <c r="K6">
        <f t="shared" si="1"/>
        <v>6357.8670050400015</v>
      </c>
      <c r="L6">
        <f t="shared" si="1"/>
        <v>6393.7336514856015</v>
      </c>
      <c r="M6">
        <f t="shared" si="1"/>
        <v>6439.9684591469058</v>
      </c>
      <c r="N6">
        <f t="shared" si="1"/>
        <v>6496.3249431510449</v>
      </c>
    </row>
    <row r="7" spans="1:14" x14ac:dyDescent="0.25">
      <c r="B7" t="s">
        <v>253</v>
      </c>
      <c r="C7" s="59">
        <v>360</v>
      </c>
      <c r="G7">
        <f>Input!G27*IS!G5</f>
        <v>370.8</v>
      </c>
      <c r="H7">
        <f>Input!H27*IS!H5</f>
        <v>381.92400000000004</v>
      </c>
      <c r="I7">
        <f>Input!I27*IS!I5</f>
        <v>393.38172000000003</v>
      </c>
      <c r="J7">
        <f>Input!J27*IS!J5</f>
        <v>405.18317160000004</v>
      </c>
      <c r="K7">
        <f>Input!K27*IS!K5</f>
        <v>417.33866674800009</v>
      </c>
      <c r="L7">
        <f>Input!L27*IS!L5</f>
        <v>429.85882675044007</v>
      </c>
      <c r="M7">
        <f>Input!M27*IS!M5</f>
        <v>442.75459155295323</v>
      </c>
      <c r="N7">
        <f>Input!N27*IS!N5</f>
        <v>456.03722929954182</v>
      </c>
    </row>
    <row r="8" spans="1:14" x14ac:dyDescent="0.25">
      <c r="B8" t="s">
        <v>14</v>
      </c>
      <c r="C8" s="59">
        <v>-427</v>
      </c>
      <c r="G8">
        <f>Input!G16*Calc!G6</f>
        <v>-379.44</v>
      </c>
      <c r="H8">
        <f>Input!H16*Calc!H6</f>
        <v>-378.92160000000001</v>
      </c>
      <c r="I8">
        <f>Input!I16*Calc!I6</f>
        <v>-379.10174400000005</v>
      </c>
      <c r="J8">
        <f>Input!J16*Calc!J6</f>
        <v>-379.95854256000007</v>
      </c>
      <c r="K8">
        <f>Input!K16*Calc!K6</f>
        <v>-381.4720203024001</v>
      </c>
      <c r="L8">
        <f>Input!L16*Calc!L6</f>
        <v>-383.62401908913608</v>
      </c>
      <c r="M8">
        <f>Input!M16*Calc!M6</f>
        <v>-386.39810754881432</v>
      </c>
      <c r="N8">
        <f>Input!N16*Calc!N6</f>
        <v>-389.77949658906266</v>
      </c>
    </row>
    <row r="9" spans="1:14" x14ac:dyDescent="0.25">
      <c r="B9" t="s">
        <v>27</v>
      </c>
      <c r="C9" s="74"/>
      <c r="F9">
        <f>BS!F11</f>
        <v>6324</v>
      </c>
      <c r="G9">
        <f t="shared" ref="G9:N9" si="2">SUM(G6:G8)</f>
        <v>6315.3600000000006</v>
      </c>
      <c r="H9">
        <f t="shared" si="2"/>
        <v>6318.3624000000009</v>
      </c>
      <c r="I9">
        <f t="shared" si="2"/>
        <v>6332.6423760000016</v>
      </c>
      <c r="J9">
        <f t="shared" si="2"/>
        <v>6357.8670050400015</v>
      </c>
      <c r="K9">
        <f t="shared" si="2"/>
        <v>6393.7336514856015</v>
      </c>
      <c r="L9">
        <f t="shared" si="2"/>
        <v>6439.9684591469058</v>
      </c>
      <c r="M9">
        <f t="shared" si="2"/>
        <v>6496.3249431510449</v>
      </c>
      <c r="N9">
        <f t="shared" si="2"/>
        <v>6562.582675861524</v>
      </c>
    </row>
    <row r="11" spans="1:14" x14ac:dyDescent="0.25">
      <c r="A11" s="60" t="s">
        <v>208</v>
      </c>
    </row>
    <row r="12" spans="1:14" x14ac:dyDescent="0.25">
      <c r="B12" t="s">
        <v>26</v>
      </c>
      <c r="G12">
        <f>F14</f>
        <v>310</v>
      </c>
      <c r="H12">
        <f>G14</f>
        <v>263.5</v>
      </c>
      <c r="I12">
        <f t="shared" ref="I12" si="3">H14</f>
        <v>223.97499999999999</v>
      </c>
      <c r="J12">
        <f t="shared" ref="J12" si="4">I14</f>
        <v>190.37875</v>
      </c>
      <c r="K12">
        <f t="shared" ref="K12" si="5">J14</f>
        <v>161.82193749999999</v>
      </c>
      <c r="L12">
        <f t="shared" ref="L12" si="6">K14</f>
        <v>137.548646875</v>
      </c>
      <c r="M12">
        <f t="shared" ref="M12" si="7">L14</f>
        <v>116.91634984375</v>
      </c>
      <c r="N12">
        <f t="shared" ref="N12" si="8">M14</f>
        <v>99.378897367187506</v>
      </c>
    </row>
    <row r="13" spans="1:14" x14ac:dyDescent="0.25">
      <c r="B13" t="s">
        <v>206</v>
      </c>
      <c r="C13" s="59">
        <v>-69</v>
      </c>
      <c r="G13">
        <f>G12*Input!G17</f>
        <v>-46.5</v>
      </c>
      <c r="H13">
        <f>H12*Input!H17</f>
        <v>-39.524999999999999</v>
      </c>
      <c r="I13">
        <f>I12*Input!I17</f>
        <v>-33.596249999999998</v>
      </c>
      <c r="J13">
        <f>J12*Input!J17</f>
        <v>-28.556812499999999</v>
      </c>
      <c r="K13">
        <f>K12*Input!K17</f>
        <v>-24.273290624999998</v>
      </c>
      <c r="L13">
        <f>L12*Input!L17</f>
        <v>-20.632297031250001</v>
      </c>
      <c r="M13">
        <f>M12*Input!M17</f>
        <v>-17.5374524765625</v>
      </c>
      <c r="N13">
        <f>N12*Input!N17</f>
        <v>-14.906834605078124</v>
      </c>
    </row>
    <row r="14" spans="1:14" x14ac:dyDescent="0.25">
      <c r="B14" t="s">
        <v>27</v>
      </c>
      <c r="C14" s="74"/>
      <c r="F14">
        <f>BS!F13</f>
        <v>310</v>
      </c>
      <c r="G14">
        <f t="shared" ref="G14:N14" si="9">SUM(G12:G13)</f>
        <v>263.5</v>
      </c>
      <c r="H14">
        <f t="shared" si="9"/>
        <v>223.97499999999999</v>
      </c>
      <c r="I14">
        <f t="shared" si="9"/>
        <v>190.37875</v>
      </c>
      <c r="J14">
        <f t="shared" si="9"/>
        <v>161.82193749999999</v>
      </c>
      <c r="K14">
        <f t="shared" si="9"/>
        <v>137.548646875</v>
      </c>
      <c r="L14">
        <f t="shared" si="9"/>
        <v>116.91634984375</v>
      </c>
      <c r="M14">
        <f t="shared" si="9"/>
        <v>99.378897367187506</v>
      </c>
      <c r="N14">
        <f t="shared" si="9"/>
        <v>84.472062762109374</v>
      </c>
    </row>
    <row r="15" spans="1:14" x14ac:dyDescent="0.25">
      <c r="C15" s="74"/>
    </row>
    <row r="16" spans="1:14" x14ac:dyDescent="0.25">
      <c r="A16" s="60" t="s">
        <v>156</v>
      </c>
    </row>
    <row r="17" spans="1:14" x14ac:dyDescent="0.25">
      <c r="B17" t="s">
        <v>26</v>
      </c>
      <c r="G17">
        <f>F20</f>
        <v>1943</v>
      </c>
      <c r="H17">
        <f t="shared" ref="H17" si="10">G20</f>
        <v>1957.8615500000001</v>
      </c>
      <c r="I17">
        <f t="shared" ref="I17" si="11">H20</f>
        <v>1974.9060845000001</v>
      </c>
      <c r="J17">
        <f t="shared" ref="J17" si="12">I20</f>
        <v>1994.1296075149999</v>
      </c>
      <c r="K17">
        <f t="shared" ref="K17" si="13">J20</f>
        <v>2015.5307826012502</v>
      </c>
      <c r="L17">
        <f t="shared" ref="L17" si="14">K20</f>
        <v>2039.1109014656554</v>
      </c>
      <c r="M17">
        <f t="shared" ref="M17" si="15">L20</f>
        <v>2064.8738560805386</v>
      </c>
      <c r="N17">
        <f t="shared" ref="N17" si="16">M20</f>
        <v>2092.8261142310312</v>
      </c>
    </row>
    <row r="18" spans="1:14" x14ac:dyDescent="0.25">
      <c r="B18" t="s">
        <v>189</v>
      </c>
      <c r="G18">
        <f>Input!G28*IS!G5</f>
        <v>92.581550000000007</v>
      </c>
      <c r="H18" s="30">
        <f>Input!H28*IS!H5</f>
        <v>95.358996500000018</v>
      </c>
      <c r="I18" s="30">
        <f>Input!I28*IS!I5</f>
        <v>98.219766395000008</v>
      </c>
      <c r="J18" s="30">
        <f>Input!J28*IS!J5</f>
        <v>101.16635938685002</v>
      </c>
      <c r="K18" s="30">
        <f>Input!K28*IS!K5</f>
        <v>104.20135016845552</v>
      </c>
      <c r="L18" s="30">
        <f>Input!L28*IS!L5</f>
        <v>107.32739067350919</v>
      </c>
      <c r="M18" s="30">
        <f>Input!M28*IS!M5</f>
        <v>110.54721239371446</v>
      </c>
      <c r="N18" s="30">
        <f>Input!N28*IS!N5</f>
        <v>113.86362876552589</v>
      </c>
    </row>
    <row r="19" spans="1:14" x14ac:dyDescent="0.25">
      <c r="B19" t="s">
        <v>195</v>
      </c>
      <c r="G19">
        <f>G17*Input!G20</f>
        <v>-77.72</v>
      </c>
      <c r="H19">
        <f>H17*Input!H20</f>
        <v>-78.314462000000006</v>
      </c>
      <c r="I19">
        <f>I17*Input!I20</f>
        <v>-78.99624338000001</v>
      </c>
      <c r="J19">
        <f>J17*Input!J20</f>
        <v>-79.765184300599998</v>
      </c>
      <c r="K19">
        <f>K17*Input!K20</f>
        <v>-80.621231304050013</v>
      </c>
      <c r="L19">
        <f>L17*Input!L20</f>
        <v>-81.564436058626214</v>
      </c>
      <c r="M19">
        <f>M17*Input!M20</f>
        <v>-82.594954243221551</v>
      </c>
      <c r="N19">
        <f>N17*Input!N20</f>
        <v>-83.713044569241248</v>
      </c>
    </row>
    <row r="20" spans="1:14" x14ac:dyDescent="0.25">
      <c r="B20" t="s">
        <v>27</v>
      </c>
      <c r="F20">
        <f>BS!F12</f>
        <v>1943</v>
      </c>
      <c r="G20">
        <f>SUM(G17:G19)</f>
        <v>1957.8615500000001</v>
      </c>
      <c r="H20">
        <f t="shared" ref="H20:N20" si="17">SUM(H17:H19)</f>
        <v>1974.9060845000001</v>
      </c>
      <c r="I20">
        <f t="shared" si="17"/>
        <v>1994.1296075149999</v>
      </c>
      <c r="J20">
        <f t="shared" si="17"/>
        <v>2015.5307826012502</v>
      </c>
      <c r="K20">
        <f t="shared" si="17"/>
        <v>2039.1109014656554</v>
      </c>
      <c r="L20">
        <f t="shared" si="17"/>
        <v>2064.8738560805386</v>
      </c>
      <c r="M20">
        <f t="shared" si="17"/>
        <v>2092.8261142310312</v>
      </c>
      <c r="N20">
        <f t="shared" si="17"/>
        <v>2122.9766984273156</v>
      </c>
    </row>
    <row r="21" spans="1:14" x14ac:dyDescent="0.25">
      <c r="C21" s="74"/>
    </row>
    <row r="22" spans="1:14" x14ac:dyDescent="0.25">
      <c r="A22" s="60" t="s">
        <v>188</v>
      </c>
    </row>
    <row r="23" spans="1:14" x14ac:dyDescent="0.25">
      <c r="B23" t="s">
        <v>26</v>
      </c>
      <c r="G23">
        <f>F27</f>
        <v>1284</v>
      </c>
      <c r="H23">
        <f t="shared" ref="H23" si="18">G27</f>
        <v>1298.8615500000001</v>
      </c>
      <c r="I23">
        <f t="shared" ref="I23" si="19">H27</f>
        <v>1315.9060844999999</v>
      </c>
      <c r="J23">
        <f t="shared" ref="J23" si="20">I27</f>
        <v>1335.1296075149996</v>
      </c>
      <c r="K23">
        <f t="shared" ref="K23" si="21">J27</f>
        <v>1356.5307826012499</v>
      </c>
      <c r="L23">
        <f t="shared" ref="L23" si="22">K27</f>
        <v>1380.1109014656552</v>
      </c>
      <c r="M23">
        <f t="shared" ref="M23" si="23">L27</f>
        <v>1405.8738560805382</v>
      </c>
      <c r="N23">
        <f t="shared" ref="N23" si="24">M27</f>
        <v>1433.8261142310307</v>
      </c>
    </row>
    <row r="24" spans="1:14" x14ac:dyDescent="0.25">
      <c r="B24" t="s">
        <v>189</v>
      </c>
      <c r="G24">
        <f>G18</f>
        <v>92.581550000000007</v>
      </c>
      <c r="H24">
        <f t="shared" ref="H24:N24" si="25">H18</f>
        <v>95.358996500000018</v>
      </c>
      <c r="I24">
        <f t="shared" si="25"/>
        <v>98.219766395000008</v>
      </c>
      <c r="J24">
        <f t="shared" si="25"/>
        <v>101.16635938685002</v>
      </c>
      <c r="K24">
        <f t="shared" si="25"/>
        <v>104.20135016845552</v>
      </c>
      <c r="L24">
        <f t="shared" si="25"/>
        <v>107.32739067350919</v>
      </c>
      <c r="M24">
        <f t="shared" si="25"/>
        <v>110.54721239371446</v>
      </c>
      <c r="N24">
        <f t="shared" si="25"/>
        <v>113.86362876552589</v>
      </c>
    </row>
    <row r="25" spans="1:14" x14ac:dyDescent="0.25">
      <c r="B25" t="s">
        <v>190</v>
      </c>
      <c r="G25">
        <f>G23*Input!G19</f>
        <v>44.940000000000005</v>
      </c>
      <c r="H25">
        <f>H23*Input!H19</f>
        <v>45.460154250000009</v>
      </c>
      <c r="I25">
        <f>I23*Input!I19</f>
        <v>46.056712957500004</v>
      </c>
      <c r="J25">
        <f>J23*Input!J19</f>
        <v>46.72953626302499</v>
      </c>
      <c r="K25">
        <f>K23*Input!K19</f>
        <v>47.47857739104375</v>
      </c>
      <c r="L25">
        <f>L23*Input!L19</f>
        <v>48.303881551297934</v>
      </c>
      <c r="M25">
        <f>M23*Input!M19</f>
        <v>49.20558496281884</v>
      </c>
      <c r="N25">
        <f>N23*Input!N19</f>
        <v>50.183913998086076</v>
      </c>
    </row>
    <row r="26" spans="1:14" x14ac:dyDescent="0.25">
      <c r="B26" t="s">
        <v>191</v>
      </c>
      <c r="G26">
        <f>G27-SUM(G23:G25)</f>
        <v>-122.66000000000008</v>
      </c>
      <c r="H26">
        <f t="shared" ref="H26:N26" si="26">H27-SUM(H23:H25)</f>
        <v>-123.77461625000024</v>
      </c>
      <c r="I26">
        <f t="shared" si="26"/>
        <v>-125.05295633750029</v>
      </c>
      <c r="J26">
        <f t="shared" si="26"/>
        <v>-126.4947205636247</v>
      </c>
      <c r="K26">
        <f t="shared" si="26"/>
        <v>-128.099808695094</v>
      </c>
      <c r="L26">
        <f t="shared" si="26"/>
        <v>-129.86831760992413</v>
      </c>
      <c r="M26">
        <f t="shared" si="26"/>
        <v>-131.80053920604087</v>
      </c>
      <c r="N26">
        <f t="shared" si="26"/>
        <v>-133.8969585673276</v>
      </c>
    </row>
    <row r="27" spans="1:14" x14ac:dyDescent="0.25">
      <c r="B27" t="s">
        <v>27</v>
      </c>
      <c r="F27">
        <f>BS!F24</f>
        <v>1284</v>
      </c>
      <c r="G27">
        <f>F27+G20-F20</f>
        <v>1298.8615500000001</v>
      </c>
      <c r="H27">
        <f t="shared" ref="H27:N27" si="27">G27+H20-G20</f>
        <v>1315.9060844999999</v>
      </c>
      <c r="I27">
        <f t="shared" si="27"/>
        <v>1335.1296075149996</v>
      </c>
      <c r="J27">
        <f t="shared" si="27"/>
        <v>1356.5307826012499</v>
      </c>
      <c r="K27">
        <f t="shared" si="27"/>
        <v>1380.1109014656552</v>
      </c>
      <c r="L27">
        <f t="shared" si="27"/>
        <v>1405.8738560805382</v>
      </c>
      <c r="M27">
        <f t="shared" si="27"/>
        <v>1433.8261142310307</v>
      </c>
      <c r="N27">
        <f t="shared" si="27"/>
        <v>1463.9766984273151</v>
      </c>
    </row>
    <row r="29" spans="1:14" x14ac:dyDescent="0.25">
      <c r="A29" s="60" t="s">
        <v>90</v>
      </c>
    </row>
    <row r="30" spans="1:14" x14ac:dyDescent="0.25">
      <c r="B30" t="s">
        <v>26</v>
      </c>
      <c r="G30">
        <f>F32</f>
        <v>2878.0045952454402</v>
      </c>
      <c r="H30">
        <f t="shared" ref="H30:N30" si="28">G32</f>
        <v>3223.3651466748929</v>
      </c>
      <c r="I30">
        <f t="shared" si="28"/>
        <v>3610.1689642758802</v>
      </c>
      <c r="J30">
        <f t="shared" si="28"/>
        <v>4043.3892399889855</v>
      </c>
      <c r="K30">
        <f t="shared" si="28"/>
        <v>4528.5959487876635</v>
      </c>
      <c r="L30">
        <f t="shared" si="28"/>
        <v>5072.0274626421833</v>
      </c>
      <c r="M30">
        <f t="shared" si="28"/>
        <v>5680.6707581592455</v>
      </c>
      <c r="N30">
        <f t="shared" si="28"/>
        <v>6362.3512491383553</v>
      </c>
    </row>
    <row r="31" spans="1:14" x14ac:dyDescent="0.25">
      <c r="B31" t="s">
        <v>126</v>
      </c>
      <c r="G31">
        <f>G30*LBO!$H$60</f>
        <v>345.36055142945281</v>
      </c>
      <c r="H31">
        <f>H30*LBO!$H$60</f>
        <v>386.80381760098714</v>
      </c>
      <c r="I31">
        <f>I30*LBO!$H$60</f>
        <v>433.22027571310559</v>
      </c>
      <c r="J31">
        <f>J30*LBO!$H$60</f>
        <v>485.20670879867822</v>
      </c>
      <c r="K31">
        <f>K30*LBO!$H$60</f>
        <v>543.43151385451961</v>
      </c>
      <c r="L31">
        <f>L30*LBO!$H$60</f>
        <v>608.64329551706203</v>
      </c>
      <c r="M31">
        <f>M30*LBO!$H$60</f>
        <v>681.68049097910944</v>
      </c>
      <c r="N31">
        <f>N30*LBO!$H$60</f>
        <v>763.48214989660266</v>
      </c>
    </row>
    <row r="32" spans="1:14" x14ac:dyDescent="0.25">
      <c r="B32" t="s">
        <v>127</v>
      </c>
      <c r="F32">
        <f>BS!E29</f>
        <v>2878.0045952454402</v>
      </c>
      <c r="G32">
        <f>SUM(G30:G31)</f>
        <v>3223.3651466748929</v>
      </c>
      <c r="H32">
        <f t="shared" ref="H32:N32" si="29">SUM(H30:H31)</f>
        <v>3610.1689642758802</v>
      </c>
      <c r="I32">
        <f t="shared" si="29"/>
        <v>4043.3892399889855</v>
      </c>
      <c r="J32">
        <f t="shared" si="29"/>
        <v>4528.5959487876635</v>
      </c>
      <c r="K32">
        <f t="shared" si="29"/>
        <v>5072.0274626421833</v>
      </c>
      <c r="L32">
        <f t="shared" si="29"/>
        <v>5680.6707581592455</v>
      </c>
      <c r="M32">
        <f t="shared" si="29"/>
        <v>6362.3512491383553</v>
      </c>
      <c r="N32">
        <f t="shared" si="29"/>
        <v>7125.8333990349583</v>
      </c>
    </row>
    <row r="34" spans="1:14" x14ac:dyDescent="0.25">
      <c r="A34" s="60" t="s">
        <v>28</v>
      </c>
    </row>
    <row r="35" spans="1:14" x14ac:dyDescent="0.25">
      <c r="B35" t="s">
        <v>26</v>
      </c>
      <c r="G35">
        <f>F38</f>
        <v>1298.75873342656</v>
      </c>
      <c r="H35">
        <f ca="1">G38</f>
        <v>965.84753575813625</v>
      </c>
      <c r="I35">
        <f t="shared" ref="I35:N35" ca="1" si="30">H38</f>
        <v>735.62750305759948</v>
      </c>
      <c r="J35">
        <f t="shared" ca="1" si="30"/>
        <v>608.5667860661697</v>
      </c>
      <c r="K35">
        <f t="shared" ca="1" si="30"/>
        <v>434.43877173759688</v>
      </c>
      <c r="L35">
        <f t="shared" ca="1" si="30"/>
        <v>205.28881047180641</v>
      </c>
      <c r="M35">
        <f t="shared" ca="1" si="30"/>
        <v>-86.469039184109988</v>
      </c>
      <c r="N35">
        <f t="shared" ca="1" si="30"/>
        <v>-444.74533767564702</v>
      </c>
    </row>
    <row r="36" spans="1:14" x14ac:dyDescent="0.25">
      <c r="B36" t="s">
        <v>126</v>
      </c>
      <c r="G36">
        <f>G31*-1</f>
        <v>-345.36055142945281</v>
      </c>
      <c r="H36">
        <f t="shared" ref="H36:N36" si="31">H31*-1</f>
        <v>-386.80381760098714</v>
      </c>
      <c r="I36">
        <f t="shared" si="31"/>
        <v>-433.22027571310559</v>
      </c>
      <c r="J36">
        <f t="shared" si="31"/>
        <v>-485.20670879867822</v>
      </c>
      <c r="K36">
        <f t="shared" si="31"/>
        <v>-543.43151385451961</v>
      </c>
      <c r="L36">
        <f t="shared" si="31"/>
        <v>-608.64329551706203</v>
      </c>
      <c r="M36">
        <f t="shared" si="31"/>
        <v>-681.68049097910944</v>
      </c>
      <c r="N36">
        <f t="shared" si="31"/>
        <v>-763.48214989660266</v>
      </c>
    </row>
    <row r="37" spans="1:14" x14ac:dyDescent="0.25">
      <c r="B37" t="s">
        <v>29</v>
      </c>
      <c r="G37">
        <f ca="1">IS!G15</f>
        <v>12.449353761029048</v>
      </c>
      <c r="H37">
        <f ca="1">IS!H15</f>
        <v>156.58378490045038</v>
      </c>
      <c r="I37">
        <f ca="1">IS!I15</f>
        <v>306.15955872167586</v>
      </c>
      <c r="J37">
        <f ca="1">IS!J15</f>
        <v>311.0786944701054</v>
      </c>
      <c r="K37">
        <f ca="1">IS!K15</f>
        <v>314.28155258872926</v>
      </c>
      <c r="L37">
        <f ca="1">IS!L15</f>
        <v>316.88544586031253</v>
      </c>
      <c r="M37">
        <f ca="1">IS!M15</f>
        <v>323.40419300011138</v>
      </c>
      <c r="N37">
        <f ca="1">IS!N15</f>
        <v>323.63215801795661</v>
      </c>
    </row>
    <row r="38" spans="1:14" x14ac:dyDescent="0.25">
      <c r="B38" t="s">
        <v>27</v>
      </c>
      <c r="F38">
        <f>BS!F33</f>
        <v>1298.75873342656</v>
      </c>
      <c r="G38">
        <f t="shared" ref="G38:N38" ca="1" si="32">SUM(G35:G37)</f>
        <v>965.84753575813625</v>
      </c>
      <c r="H38">
        <f t="shared" ca="1" si="32"/>
        <v>735.62750305759948</v>
      </c>
      <c r="I38">
        <f t="shared" ca="1" si="32"/>
        <v>608.5667860661697</v>
      </c>
      <c r="J38">
        <f t="shared" ca="1" si="32"/>
        <v>434.43877173759688</v>
      </c>
      <c r="K38">
        <f t="shared" ca="1" si="32"/>
        <v>205.28881047180653</v>
      </c>
      <c r="L38">
        <f t="shared" ca="1" si="32"/>
        <v>-86.469039184943085</v>
      </c>
      <c r="M38">
        <f t="shared" ca="1" si="32"/>
        <v>-444.74533716310805</v>
      </c>
      <c r="N38">
        <f t="shared" ca="1" si="32"/>
        <v>-884.59532955429302</v>
      </c>
    </row>
    <row r="40" spans="1:14" x14ac:dyDescent="0.25">
      <c r="A40" s="60" t="s">
        <v>30</v>
      </c>
    </row>
    <row r="41" spans="1:14" x14ac:dyDescent="0.25">
      <c r="B41" t="str">
        <f>BS!B6</f>
        <v>Accounts receivable</v>
      </c>
      <c r="F41">
        <f>BS!F6</f>
        <v>480</v>
      </c>
      <c r="G41">
        <f>BS!G6</f>
        <v>494.40000000000009</v>
      </c>
      <c r="H41">
        <f>BS!H6</f>
        <v>509.23200000000008</v>
      </c>
      <c r="I41">
        <f>BS!I6</f>
        <v>524.50896000000012</v>
      </c>
      <c r="J41">
        <f>BS!J6</f>
        <v>540.24422880000009</v>
      </c>
      <c r="K41">
        <f>BS!K6</f>
        <v>556.45155566400013</v>
      </c>
      <c r="L41">
        <f>BS!L6</f>
        <v>573.14510233392014</v>
      </c>
      <c r="M41">
        <f>BS!M6</f>
        <v>590.33945540393768</v>
      </c>
      <c r="N41">
        <f>BS!N6</f>
        <v>608.04963906605576</v>
      </c>
    </row>
    <row r="42" spans="1:14" x14ac:dyDescent="0.25">
      <c r="B42" t="str">
        <f>BS!B7</f>
        <v>Inventories</v>
      </c>
      <c r="F42">
        <f>BS!F7</f>
        <v>902</v>
      </c>
      <c r="G42">
        <f>BS!G7</f>
        <v>929.06000000000006</v>
      </c>
      <c r="H42">
        <f>BS!H7</f>
        <v>956.93180000000029</v>
      </c>
      <c r="I42">
        <f>BS!I7</f>
        <v>985.63975400000004</v>
      </c>
      <c r="J42">
        <f>BS!J7</f>
        <v>1015.2089466200002</v>
      </c>
      <c r="K42">
        <f>BS!K7</f>
        <v>1045.6652150186003</v>
      </c>
      <c r="L42">
        <f>BS!L7</f>
        <v>1077.0351714691583</v>
      </c>
      <c r="M42">
        <f>BS!M7</f>
        <v>1109.3462266132328</v>
      </c>
      <c r="N42">
        <f>BS!N7</f>
        <v>1142.6266134116299</v>
      </c>
    </row>
    <row r="43" spans="1:14" x14ac:dyDescent="0.25">
      <c r="B43" t="str">
        <f>BS!B8</f>
        <v>Other current assets</v>
      </c>
      <c r="F43">
        <f>BS!F8</f>
        <v>34</v>
      </c>
      <c r="G43">
        <f>BS!G8</f>
        <v>35.020000000000003</v>
      </c>
      <c r="H43">
        <f>BS!H8</f>
        <v>36.070600000000006</v>
      </c>
      <c r="I43">
        <f>BS!I8</f>
        <v>37.152718000000007</v>
      </c>
      <c r="J43">
        <f>BS!J8</f>
        <v>38.26729954000001</v>
      </c>
      <c r="K43">
        <f>BS!K8</f>
        <v>39.415318526200011</v>
      </c>
      <c r="L43">
        <f>BS!L8</f>
        <v>40.597778081986007</v>
      </c>
      <c r="M43">
        <f>BS!M8</f>
        <v>41.815711424445588</v>
      </c>
      <c r="N43">
        <f>BS!N8</f>
        <v>43.070182767178956</v>
      </c>
    </row>
    <row r="44" spans="1:14" x14ac:dyDescent="0.25">
      <c r="B44" t="str">
        <f>BS!B19</f>
        <v>Accounts payable</v>
      </c>
      <c r="F44">
        <f>BS!F19</f>
        <v>2660</v>
      </c>
      <c r="G44">
        <f>BS!G19</f>
        <v>2739.8</v>
      </c>
      <c r="H44">
        <f>BS!H19</f>
        <v>2821.9940000000006</v>
      </c>
      <c r="I44">
        <f>BS!I19</f>
        <v>2906.65382</v>
      </c>
      <c r="J44">
        <f>BS!J19</f>
        <v>2993.8534346000006</v>
      </c>
      <c r="K44">
        <f>BS!K19</f>
        <v>3083.6690376380006</v>
      </c>
      <c r="L44">
        <f>BS!L19</f>
        <v>3176.1791087671404</v>
      </c>
      <c r="M44">
        <f>BS!M19</f>
        <v>3271.4644820301546</v>
      </c>
      <c r="N44">
        <f>BS!N19</f>
        <v>3369.608416491059</v>
      </c>
    </row>
    <row r="45" spans="1:14" x14ac:dyDescent="0.25">
      <c r="B45" t="s">
        <v>125</v>
      </c>
      <c r="F45">
        <f>BS!F20</f>
        <v>530</v>
      </c>
      <c r="G45">
        <f>BS!G20</f>
        <v>545.90000000000009</v>
      </c>
      <c r="H45">
        <f>BS!H20</f>
        <v>562.27700000000004</v>
      </c>
      <c r="I45">
        <f>BS!I20</f>
        <v>579.14530999999999</v>
      </c>
      <c r="J45">
        <f>BS!J20</f>
        <v>596.51966930000015</v>
      </c>
      <c r="K45">
        <f>BS!K20</f>
        <v>614.41525937900008</v>
      </c>
      <c r="L45">
        <f>BS!L20</f>
        <v>632.84771716037005</v>
      </c>
      <c r="M45">
        <f>BS!M20</f>
        <v>651.83314867518118</v>
      </c>
      <c r="N45">
        <f>BS!N20</f>
        <v>671.38814313543662</v>
      </c>
    </row>
    <row r="46" spans="1:14" x14ac:dyDescent="0.25">
      <c r="B46" t="s">
        <v>31</v>
      </c>
      <c r="F46">
        <f>SUM(F41:F43)-SUM(F44:F45)</f>
        <v>-1774</v>
      </c>
      <c r="G46">
        <f t="shared" ref="G46:N46" si="33">SUM(G41:G43)-SUM(G44:G45)</f>
        <v>-1827.2200000000003</v>
      </c>
      <c r="H46">
        <f t="shared" si="33"/>
        <v>-1882.0366000000004</v>
      </c>
      <c r="I46">
        <f t="shared" si="33"/>
        <v>-1938.4976979999997</v>
      </c>
      <c r="J46">
        <f t="shared" si="33"/>
        <v>-1996.6526289400006</v>
      </c>
      <c r="K46">
        <f t="shared" si="33"/>
        <v>-2056.5522078082004</v>
      </c>
      <c r="L46">
        <f t="shared" si="33"/>
        <v>-2118.2487740424458</v>
      </c>
      <c r="M46">
        <f t="shared" si="33"/>
        <v>-2181.7962372637194</v>
      </c>
      <c r="N46">
        <f t="shared" si="33"/>
        <v>-2247.2501243816309</v>
      </c>
    </row>
    <row r="48" spans="1:14" ht="15.75" x14ac:dyDescent="0.25">
      <c r="A48" s="84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2"/>
  <sheetViews>
    <sheetView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s">
        <v>160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N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si="0"/>
        <v>46691</v>
      </c>
      <c r="M3" s="11">
        <f t="shared" si="0"/>
        <v>47057</v>
      </c>
      <c r="N3" s="11">
        <f t="shared" si="0"/>
        <v>47422</v>
      </c>
    </row>
    <row r="4" spans="1:14" x14ac:dyDescent="0.25">
      <c r="G4" s="95"/>
    </row>
    <row r="5" spans="1:14" x14ac:dyDescent="0.25">
      <c r="B5" t="s">
        <v>33</v>
      </c>
      <c r="C5" s="74">
        <v>17977</v>
      </c>
      <c r="G5">
        <f>(1+Input!G10)*IS!C5</f>
        <v>18516.310000000001</v>
      </c>
      <c r="H5" s="30">
        <f>(1+Input!H10)*G5</f>
        <v>19071.799300000002</v>
      </c>
      <c r="I5" s="30">
        <f>(1+Input!I10)*H5</f>
        <v>19643.953279000001</v>
      </c>
      <c r="J5" s="30">
        <f>(1+Input!J10)*I5</f>
        <v>20233.271877370003</v>
      </c>
      <c r="K5" s="30">
        <f>(1+Input!K10)*J5</f>
        <v>20840.270033691104</v>
      </c>
      <c r="L5" s="30">
        <f>(1+Input!L10)*K5</f>
        <v>21465.478134701836</v>
      </c>
      <c r="M5" s="30">
        <f>(1+Input!M10)*L5</f>
        <v>22109.442478742891</v>
      </c>
      <c r="N5" s="30">
        <f>(1+Input!N10)*M5</f>
        <v>22772.725753105176</v>
      </c>
    </row>
    <row r="6" spans="1:14" x14ac:dyDescent="0.25">
      <c r="B6" t="s">
        <v>168</v>
      </c>
      <c r="C6" s="74">
        <v>-17549</v>
      </c>
      <c r="E6" s="58"/>
      <c r="F6" s="58"/>
      <c r="G6">
        <f>G5*Input!G13</f>
        <v>-18075.47</v>
      </c>
      <c r="H6" s="30">
        <f>H5*Input!H13</f>
        <v>-18617.734100000005</v>
      </c>
      <c r="I6" s="30">
        <f>I5*Input!I13</f>
        <v>-19176.266123000001</v>
      </c>
      <c r="J6">
        <f>J5*Input!J13</f>
        <v>-19751.554106690004</v>
      </c>
      <c r="K6">
        <f>K5*Input!K13</f>
        <v>-20344.100729890706</v>
      </c>
      <c r="L6">
        <f>L5*Input!L13</f>
        <v>-20954.423751787424</v>
      </c>
      <c r="M6">
        <f>M5*Input!M13</f>
        <v>-21583.056464341047</v>
      </c>
      <c r="N6">
        <f>N5*Input!N13</f>
        <v>-22230.548158271278</v>
      </c>
    </row>
    <row r="7" spans="1:14" x14ac:dyDescent="0.25">
      <c r="B7" t="s">
        <v>239</v>
      </c>
      <c r="C7">
        <f t="shared" ref="C7" si="1">SUM(C5:C6)</f>
        <v>428</v>
      </c>
      <c r="G7">
        <f t="shared" ref="G7:N7" si="2">SUM(G5:G6)</f>
        <v>440.84000000000015</v>
      </c>
      <c r="H7" s="30">
        <f t="shared" si="2"/>
        <v>454.06519999999728</v>
      </c>
      <c r="I7" s="30">
        <f t="shared" si="2"/>
        <v>467.68715599999996</v>
      </c>
      <c r="J7">
        <f t="shared" si="2"/>
        <v>481.71777067999938</v>
      </c>
      <c r="K7">
        <f t="shared" si="2"/>
        <v>496.16930380039776</v>
      </c>
      <c r="L7">
        <f t="shared" si="2"/>
        <v>511.05438291441169</v>
      </c>
      <c r="M7">
        <f t="shared" si="2"/>
        <v>526.38601440184357</v>
      </c>
      <c r="N7">
        <f t="shared" si="2"/>
        <v>542.17759483389818</v>
      </c>
    </row>
    <row r="8" spans="1:14" x14ac:dyDescent="0.25">
      <c r="B8" t="s">
        <v>34</v>
      </c>
      <c r="C8" s="74">
        <v>-255</v>
      </c>
      <c r="G8">
        <f>G5*Input!G14</f>
        <v>-259.22834</v>
      </c>
      <c r="H8" s="30">
        <f>H5*Input!H14</f>
        <v>-267.00519020000002</v>
      </c>
      <c r="I8" s="30">
        <f>I5*Input!I14</f>
        <v>-275.01534590600005</v>
      </c>
      <c r="J8">
        <f>J5*Input!J14</f>
        <v>-283.26580628318004</v>
      </c>
      <c r="K8">
        <f>K5*Input!K14</f>
        <v>-291.76378047167549</v>
      </c>
      <c r="L8">
        <f>L5*Input!L14</f>
        <v>-300.5166938858257</v>
      </c>
      <c r="M8">
        <f>M5*Input!M14</f>
        <v>-309.53219470240049</v>
      </c>
      <c r="N8">
        <f>N5*Input!N14</f>
        <v>-318.81816054347246</v>
      </c>
    </row>
    <row r="9" spans="1:14" x14ac:dyDescent="0.25">
      <c r="B9" t="s">
        <v>182</v>
      </c>
      <c r="C9" s="74">
        <v>-49</v>
      </c>
      <c r="G9">
        <f>Input!G18</f>
        <v>0</v>
      </c>
      <c r="H9" s="30">
        <f>Input!H18</f>
        <v>0</v>
      </c>
      <c r="I9" s="30">
        <f>Input!I18</f>
        <v>0</v>
      </c>
      <c r="J9">
        <f>Input!J18</f>
        <v>0</v>
      </c>
      <c r="K9">
        <f>Input!K18</f>
        <v>0</v>
      </c>
      <c r="L9">
        <f>Input!L18</f>
        <v>0</v>
      </c>
      <c r="M9">
        <f>Input!M18</f>
        <v>0</v>
      </c>
      <c r="N9">
        <f>Input!N18</f>
        <v>0</v>
      </c>
    </row>
    <row r="10" spans="1:14" x14ac:dyDescent="0.25">
      <c r="B10" t="s">
        <v>120</v>
      </c>
      <c r="G10">
        <f>Input!G15*IS!$C$5</f>
        <v>179.77</v>
      </c>
      <c r="H10">
        <f>Input!H15*IS!$C$5</f>
        <v>359.54</v>
      </c>
      <c r="I10">
        <f>Input!I15*IS!$C$5</f>
        <v>539.30999999999995</v>
      </c>
      <c r="J10">
        <f>Input!J15*IS!$C$5</f>
        <v>539.30999999999995</v>
      </c>
      <c r="K10">
        <f>Input!K15*IS!$C$5</f>
        <v>539.30999999999995</v>
      </c>
      <c r="L10">
        <f>Input!L15*IS!$C$5</f>
        <v>539.30999999999995</v>
      </c>
      <c r="M10">
        <f>Input!M15*IS!$C$5</f>
        <v>539.30999999999995</v>
      </c>
      <c r="N10">
        <f>Input!N15*IS!$C$5</f>
        <v>539.30999999999995</v>
      </c>
    </row>
    <row r="11" spans="1:14" x14ac:dyDescent="0.25">
      <c r="B11" t="s">
        <v>240</v>
      </c>
      <c r="C11">
        <f t="shared" ref="C11" si="3">SUM(C7:C10)</f>
        <v>124</v>
      </c>
      <c r="G11">
        <f t="shared" ref="G11:N11" si="4">SUM(G7:G10)</f>
        <v>361.38166000000012</v>
      </c>
      <c r="H11">
        <f t="shared" si="4"/>
        <v>546.60000979999722</v>
      </c>
      <c r="I11">
        <f t="shared" si="4"/>
        <v>731.98181009399991</v>
      </c>
      <c r="J11">
        <f t="shared" si="4"/>
        <v>737.76196439681928</v>
      </c>
      <c r="K11">
        <f t="shared" si="4"/>
        <v>743.71552332872216</v>
      </c>
      <c r="L11">
        <f t="shared" si="4"/>
        <v>749.84768902858593</v>
      </c>
      <c r="M11">
        <f t="shared" si="4"/>
        <v>756.16381969944302</v>
      </c>
      <c r="N11">
        <f t="shared" si="4"/>
        <v>762.66943429042567</v>
      </c>
    </row>
    <row r="12" spans="1:14" x14ac:dyDescent="0.25">
      <c r="B12" t="s">
        <v>200</v>
      </c>
      <c r="C12" s="59">
        <f>83-111-257</f>
        <v>-285</v>
      </c>
      <c r="G12">
        <f ca="1">IF(switch=1,Debt!G67+Debt!G74,0)</f>
        <v>-348.27707709365376</v>
      </c>
      <c r="H12">
        <f ca="1">IF(switch=1,Debt!H67+Debt!H74,0)</f>
        <v>-353.28669510808317</v>
      </c>
      <c r="I12">
        <f ca="1">IF(switch=1,Debt!I67+Debt!I74,0)</f>
        <v>-354.00704624007909</v>
      </c>
      <c r="J12">
        <f ca="1">IF(switch=1,Debt!J67+Debt!J74,0)</f>
        <v>-353.71419344607187</v>
      </c>
      <c r="K12">
        <f ca="1">IF(switch=1,Debt!K67+Debt!K74,0)</f>
        <v>-355.71360655251323</v>
      </c>
      <c r="L12">
        <f ca="1">IF(switch=1,Debt!L67+Debt!L74,0)</f>
        <v>-358.63108920107226</v>
      </c>
      <c r="M12">
        <f ca="1">IF(switch=1,Debt!M67+Debt!M74,0)</f>
        <v>-356.89938386137351</v>
      </c>
      <c r="N12">
        <f ca="1">IF(switch=1,Debt!N67+Debt!N74,0)</f>
        <v>-363.12355961569909</v>
      </c>
    </row>
    <row r="13" spans="1:14" x14ac:dyDescent="0.25">
      <c r="B13" t="s">
        <v>241</v>
      </c>
      <c r="C13">
        <f t="shared" ref="C13" si="5">SUM(C11:C12)</f>
        <v>-161</v>
      </c>
      <c r="G13">
        <f ca="1">SUM(G11:G12)</f>
        <v>13.104582906346366</v>
      </c>
      <c r="H13">
        <f t="shared" ref="H13:N13" ca="1" si="6">SUM(H11:H12)</f>
        <v>193.31331469191406</v>
      </c>
      <c r="I13">
        <f t="shared" ca="1" si="6"/>
        <v>377.97476385392082</v>
      </c>
      <c r="J13">
        <f t="shared" ca="1" si="6"/>
        <v>384.04777095074741</v>
      </c>
      <c r="K13">
        <f t="shared" ca="1" si="6"/>
        <v>388.00191677620893</v>
      </c>
      <c r="L13">
        <f t="shared" ca="1" si="6"/>
        <v>391.21659982751368</v>
      </c>
      <c r="M13">
        <f t="shared" ca="1" si="6"/>
        <v>399.26443583806952</v>
      </c>
      <c r="N13">
        <f t="shared" ca="1" si="6"/>
        <v>399.54587467472658</v>
      </c>
    </row>
    <row r="14" spans="1:14" x14ac:dyDescent="0.25">
      <c r="B14" t="s">
        <v>36</v>
      </c>
      <c r="C14" s="74">
        <v>-168</v>
      </c>
      <c r="G14">
        <f ca="1">Input!G21*IS!G13</f>
        <v>-0.65522914531731835</v>
      </c>
      <c r="H14">
        <f ca="1">Input!H21*IS!H13</f>
        <v>-36.729529791463669</v>
      </c>
      <c r="I14">
        <f ca="1">Input!I21*IS!I13</f>
        <v>-71.815205132244955</v>
      </c>
      <c r="J14">
        <f ca="1">Input!J21*IS!J13</f>
        <v>-72.969076480642002</v>
      </c>
      <c r="K14">
        <f ca="1">Input!K21*IS!K13</f>
        <v>-73.720364187479703</v>
      </c>
      <c r="L14">
        <f ca="1">Input!L21*IS!L13</f>
        <v>-74.331153967227593</v>
      </c>
      <c r="M14">
        <f ca="1">Input!M21*IS!M13</f>
        <v>-75.860242809233213</v>
      </c>
      <c r="N14">
        <f ca="1">Input!N21*IS!N13</f>
        <v>-75.913716188198052</v>
      </c>
    </row>
    <row r="15" spans="1:14" x14ac:dyDescent="0.25">
      <c r="B15" t="s">
        <v>242</v>
      </c>
      <c r="C15">
        <f>C13+C14</f>
        <v>-329</v>
      </c>
      <c r="G15">
        <f t="shared" ref="G15" ca="1" si="7">G13+G14</f>
        <v>12.449353761029048</v>
      </c>
      <c r="H15">
        <f t="shared" ref="H15:N15" ca="1" si="8">H13+H14</f>
        <v>156.58378490045038</v>
      </c>
      <c r="I15">
        <f t="shared" ca="1" si="8"/>
        <v>306.15955872167586</v>
      </c>
      <c r="J15">
        <f t="shared" ca="1" si="8"/>
        <v>311.0786944701054</v>
      </c>
      <c r="K15">
        <f t="shared" ca="1" si="8"/>
        <v>314.28155258872926</v>
      </c>
      <c r="L15">
        <f t="shared" ca="1" si="8"/>
        <v>316.8854458602861</v>
      </c>
      <c r="M15">
        <f t="shared" ca="1" si="8"/>
        <v>323.40419302883629</v>
      </c>
      <c r="N15">
        <f t="shared" ca="1" si="8"/>
        <v>323.63215848652851</v>
      </c>
    </row>
    <row r="17" spans="1:14" x14ac:dyDescent="0.25">
      <c r="B17" t="s">
        <v>130</v>
      </c>
      <c r="C17">
        <f t="shared" ref="C17" si="9">C11</f>
        <v>124</v>
      </c>
      <c r="G17">
        <f t="shared" ref="G17" si="10">G11</f>
        <v>361.38166000000012</v>
      </c>
      <c r="H17">
        <f t="shared" ref="H17:N17" si="11">H11</f>
        <v>546.60000979999722</v>
      </c>
      <c r="I17">
        <f t="shared" si="11"/>
        <v>731.98181009399991</v>
      </c>
      <c r="J17">
        <f t="shared" si="11"/>
        <v>737.76196439681928</v>
      </c>
      <c r="K17">
        <f t="shared" si="11"/>
        <v>743.71552332872216</v>
      </c>
      <c r="L17">
        <f t="shared" si="11"/>
        <v>749.84768902858593</v>
      </c>
      <c r="M17">
        <f t="shared" si="11"/>
        <v>756.16381969944302</v>
      </c>
      <c r="N17">
        <f t="shared" si="11"/>
        <v>762.66943429042567</v>
      </c>
    </row>
    <row r="18" spans="1:14" x14ac:dyDescent="0.25">
      <c r="B18" t="s">
        <v>14</v>
      </c>
      <c r="C18" s="74">
        <f>569.3-C19</f>
        <v>500.29999999999995</v>
      </c>
      <c r="G18">
        <f>-Calc!G8-Calc!G19</f>
        <v>457.15999999999997</v>
      </c>
      <c r="H18">
        <f>-Calc!H8-Calc!H19</f>
        <v>457.236062</v>
      </c>
      <c r="I18">
        <f>-Calc!I8-Calc!I19</f>
        <v>458.09798738000006</v>
      </c>
      <c r="J18">
        <f>-Calc!J8-Calc!J19</f>
        <v>459.7237268606001</v>
      </c>
      <c r="K18">
        <f>-Calc!K8-Calc!K19</f>
        <v>462.09325160645011</v>
      </c>
      <c r="L18">
        <f>-Calc!L8-Calc!L19</f>
        <v>465.18845514776228</v>
      </c>
      <c r="M18">
        <f>-Calc!M8-Calc!M19</f>
        <v>468.99306179203586</v>
      </c>
      <c r="N18">
        <f>-Calc!N8-Calc!N19</f>
        <v>473.49254115830388</v>
      </c>
    </row>
    <row r="19" spans="1:14" x14ac:dyDescent="0.25">
      <c r="B19" t="s">
        <v>206</v>
      </c>
      <c r="C19" s="74">
        <f>Calc!C13*-1</f>
        <v>69</v>
      </c>
      <c r="G19">
        <f>Calc!G13*-1</f>
        <v>46.5</v>
      </c>
      <c r="H19">
        <f>Calc!H13*-1</f>
        <v>39.524999999999999</v>
      </c>
      <c r="I19">
        <f>Calc!I13*-1</f>
        <v>33.596249999999998</v>
      </c>
      <c r="J19">
        <f>Calc!J13*-1</f>
        <v>28.556812499999999</v>
      </c>
      <c r="K19">
        <f>Calc!K13*-1</f>
        <v>24.273290624999998</v>
      </c>
      <c r="L19">
        <f>Calc!L13*-1</f>
        <v>20.632297031250001</v>
      </c>
      <c r="M19">
        <f>Calc!M13*-1</f>
        <v>17.5374524765625</v>
      </c>
      <c r="N19">
        <f>Calc!N13*-1</f>
        <v>14.906834605078124</v>
      </c>
    </row>
    <row r="20" spans="1:14" x14ac:dyDescent="0.25">
      <c r="B20" t="s">
        <v>243</v>
      </c>
      <c r="C20">
        <f>SUM(C17:C19)</f>
        <v>693.3</v>
      </c>
      <c r="G20">
        <f t="shared" ref="G20" si="12">SUM(G17:G19)</f>
        <v>865.04166000000009</v>
      </c>
      <c r="H20">
        <f t="shared" ref="H20:N20" si="13">SUM(H17:H19)</f>
        <v>1043.3610717999973</v>
      </c>
      <c r="I20">
        <f t="shared" si="13"/>
        <v>1223.6760474739999</v>
      </c>
      <c r="J20">
        <f t="shared" si="13"/>
        <v>1226.0425037574194</v>
      </c>
      <c r="K20">
        <f t="shared" si="13"/>
        <v>1230.0820655601724</v>
      </c>
      <c r="L20">
        <f t="shared" si="13"/>
        <v>1235.6684412075981</v>
      </c>
      <c r="M20">
        <f t="shared" si="13"/>
        <v>1242.6943339680415</v>
      </c>
      <c r="N20">
        <f t="shared" si="13"/>
        <v>1251.0688100538077</v>
      </c>
    </row>
    <row r="22" spans="1:14" ht="15.75" x14ac:dyDescent="0.25">
      <c r="A22" s="84" t="s">
        <v>163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8"/>
  <sheetViews>
    <sheetView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s">
        <v>161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N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si="0"/>
        <v>46691</v>
      </c>
      <c r="M3" s="11">
        <f t="shared" si="0"/>
        <v>47057</v>
      </c>
      <c r="N3" s="11">
        <f t="shared" si="0"/>
        <v>47422</v>
      </c>
    </row>
    <row r="5" spans="1:14" x14ac:dyDescent="0.25">
      <c r="B5" t="s">
        <v>37</v>
      </c>
      <c r="C5" s="59">
        <v>296</v>
      </c>
      <c r="E5">
        <f>-C5</f>
        <v>-296</v>
      </c>
      <c r="F5">
        <f>SUM(C5:E5)</f>
        <v>0</v>
      </c>
      <c r="G5">
        <f ca="1">CFS!G26</f>
        <v>34.702338440257108</v>
      </c>
      <c r="H5">
        <f ca="1">CFS!H26</f>
        <v>37.381330835176868</v>
      </c>
      <c r="I5">
        <f ca="1">CFS!I26</f>
        <v>41.328815389212878</v>
      </c>
      <c r="J5">
        <f ca="1">CFS!J26</f>
        <v>31.367808564829943</v>
      </c>
      <c r="K5">
        <f ca="1">CFS!K26</f>
        <v>32.479288375295368</v>
      </c>
      <c r="L5">
        <f ca="1">CFS!L26</f>
        <v>30.243840761659044</v>
      </c>
      <c r="M5">
        <f ca="1">CFS!M26</f>
        <v>162.25756515334422</v>
      </c>
      <c r="N5">
        <f ca="1">CFS!N26</f>
        <v>583.11451778547644</v>
      </c>
    </row>
    <row r="6" spans="1:14" x14ac:dyDescent="0.25">
      <c r="B6" t="s">
        <v>38</v>
      </c>
      <c r="C6" s="59">
        <v>480</v>
      </c>
      <c r="F6">
        <f>SUM(C6:E6)</f>
        <v>480</v>
      </c>
      <c r="G6">
        <f>Input!G25/365*IS!G5</f>
        <v>494.40000000000009</v>
      </c>
      <c r="H6">
        <f>Input!H25/365*IS!H5</f>
        <v>509.23200000000008</v>
      </c>
      <c r="I6">
        <f>Input!I25/365*IS!I5</f>
        <v>524.50896000000012</v>
      </c>
      <c r="J6">
        <f>Input!J25/365*IS!J5</f>
        <v>540.24422880000009</v>
      </c>
      <c r="K6">
        <f>Input!K25/365*IS!K5</f>
        <v>556.45155566400013</v>
      </c>
      <c r="L6">
        <f>Input!L25/365*IS!L5</f>
        <v>573.14510233392014</v>
      </c>
      <c r="M6">
        <f>Input!M25/365*IS!M5</f>
        <v>590.33945540393768</v>
      </c>
      <c r="N6">
        <f>Input!N25/365*IS!N5</f>
        <v>608.04963906605576</v>
      </c>
    </row>
    <row r="7" spans="1:14" x14ac:dyDescent="0.25">
      <c r="B7" t="s">
        <v>39</v>
      </c>
      <c r="C7" s="59">
        <v>902</v>
      </c>
      <c r="F7">
        <f>SUM(C7:E7)</f>
        <v>902</v>
      </c>
      <c r="G7">
        <f>Input!G24/365*IS!G6</f>
        <v>929.06000000000006</v>
      </c>
      <c r="H7">
        <f>Input!H24/365*IS!H6</f>
        <v>956.93180000000029</v>
      </c>
      <c r="I7">
        <f>Input!I24/365*IS!I6</f>
        <v>985.63975400000004</v>
      </c>
      <c r="J7">
        <f>Input!J24/365*IS!J6</f>
        <v>1015.2089466200002</v>
      </c>
      <c r="K7">
        <f>Input!K24/365*IS!K6</f>
        <v>1045.6652150186003</v>
      </c>
      <c r="L7">
        <f>Input!L24/365*IS!L6</f>
        <v>1077.0351714691583</v>
      </c>
      <c r="M7">
        <f>Input!M24/365*IS!M6</f>
        <v>1109.3462266132328</v>
      </c>
      <c r="N7">
        <f>Input!N24/365*IS!N6</f>
        <v>1142.6266134116299</v>
      </c>
    </row>
    <row r="8" spans="1:14" x14ac:dyDescent="0.25">
      <c r="B8" t="s">
        <v>40</v>
      </c>
      <c r="C8" s="59">
        <v>34</v>
      </c>
      <c r="F8">
        <f>SUM(C8:E8)</f>
        <v>34</v>
      </c>
      <c r="G8">
        <f>Input!G26*IS!G5</f>
        <v>35.020000000000003</v>
      </c>
      <c r="H8">
        <f>Input!H26*IS!H5</f>
        <v>36.070600000000006</v>
      </c>
      <c r="I8">
        <f>Input!I26*IS!I5</f>
        <v>37.152718000000007</v>
      </c>
      <c r="J8">
        <f>Input!J26*IS!J5</f>
        <v>38.26729954000001</v>
      </c>
      <c r="K8">
        <f>Input!K26*IS!K5</f>
        <v>39.415318526200011</v>
      </c>
      <c r="L8">
        <f>Input!L26*IS!L5</f>
        <v>40.597778081986007</v>
      </c>
      <c r="M8">
        <f>Input!M26*IS!M5</f>
        <v>41.815711424445588</v>
      </c>
      <c r="N8">
        <f>Input!N26*IS!N5</f>
        <v>43.070182767178956</v>
      </c>
    </row>
    <row r="9" spans="1:14" x14ac:dyDescent="0.25">
      <c r="B9" t="s">
        <v>244</v>
      </c>
      <c r="C9">
        <f>SUM(C5:C8)</f>
        <v>1712</v>
      </c>
      <c r="F9">
        <f>SUM(F5:F8)</f>
        <v>1416</v>
      </c>
      <c r="G9">
        <f ca="1">SUM(G5:G8)</f>
        <v>1493.1823384402574</v>
      </c>
      <c r="H9">
        <f t="shared" ref="H9:N9" ca="1" si="1">SUM(H5:H8)</f>
        <v>1539.6157308351771</v>
      </c>
      <c r="I9">
        <f t="shared" ca="1" si="1"/>
        <v>1588.6302473892131</v>
      </c>
      <c r="J9">
        <f t="shared" ca="1" si="1"/>
        <v>1625.0882835248303</v>
      </c>
      <c r="K9">
        <f t="shared" ca="1" si="1"/>
        <v>1674.0113775840957</v>
      </c>
      <c r="L9">
        <f t="shared" ca="1" si="1"/>
        <v>1721.0218926467235</v>
      </c>
      <c r="M9">
        <f t="shared" ca="1" si="1"/>
        <v>1903.7589585949604</v>
      </c>
      <c r="N9">
        <f t="shared" ca="1" si="1"/>
        <v>2376.8609530303411</v>
      </c>
    </row>
    <row r="11" spans="1:14" x14ac:dyDescent="0.25">
      <c r="B11" t="s">
        <v>41</v>
      </c>
      <c r="C11" s="59">
        <f>8267-C12</f>
        <v>6324</v>
      </c>
      <c r="F11">
        <f>SUM(C11:E11)</f>
        <v>6324</v>
      </c>
      <c r="G11">
        <f>Calc!G9</f>
        <v>6315.3600000000006</v>
      </c>
      <c r="H11">
        <f>Calc!H9</f>
        <v>6318.3624000000009</v>
      </c>
      <c r="I11">
        <f>Calc!I9</f>
        <v>6332.6423760000016</v>
      </c>
      <c r="J11">
        <f>Calc!J9</f>
        <v>6357.8670050400015</v>
      </c>
      <c r="K11">
        <f>Calc!K9</f>
        <v>6393.7336514856015</v>
      </c>
      <c r="L11">
        <f>Calc!L9</f>
        <v>6439.9684591469058</v>
      </c>
      <c r="M11">
        <f>Calc!M9</f>
        <v>6496.3249431510449</v>
      </c>
      <c r="N11">
        <f>Calc!N9</f>
        <v>6562.582675861524</v>
      </c>
    </row>
    <row r="12" spans="1:14" x14ac:dyDescent="0.25">
      <c r="B12" s="30" t="s">
        <v>156</v>
      </c>
      <c r="C12" s="59">
        <v>1943</v>
      </c>
      <c r="F12">
        <f>SUM(C12:E12)</f>
        <v>1943</v>
      </c>
      <c r="G12">
        <f>Calc!G20</f>
        <v>1957.8615500000001</v>
      </c>
      <c r="H12">
        <f>Calc!H20</f>
        <v>1974.9060845000001</v>
      </c>
      <c r="I12">
        <f>Calc!I20</f>
        <v>1994.1296075149999</v>
      </c>
      <c r="J12">
        <f>Calc!J20</f>
        <v>2015.5307826012502</v>
      </c>
      <c r="K12">
        <f>Calc!K20</f>
        <v>2039.1109014656554</v>
      </c>
      <c r="L12">
        <f>Calc!L20</f>
        <v>2064.8738560805386</v>
      </c>
      <c r="M12">
        <f>Calc!M20</f>
        <v>2092.8261142310312</v>
      </c>
      <c r="N12">
        <f>Calc!N20</f>
        <v>2122.9766984273156</v>
      </c>
    </row>
    <row r="13" spans="1:14" x14ac:dyDescent="0.25">
      <c r="B13" t="s">
        <v>42</v>
      </c>
      <c r="C13" s="59">
        <v>310</v>
      </c>
      <c r="F13">
        <f>SUM(C13:E13)</f>
        <v>310</v>
      </c>
      <c r="G13">
        <f>Calc!G14</f>
        <v>263.5</v>
      </c>
      <c r="H13">
        <f>Calc!H14</f>
        <v>223.97499999999999</v>
      </c>
      <c r="I13">
        <f>Calc!I14</f>
        <v>190.37875</v>
      </c>
      <c r="J13">
        <f>Calc!J14</f>
        <v>161.82193749999999</v>
      </c>
      <c r="K13">
        <f>Calc!K14</f>
        <v>137.548646875</v>
      </c>
      <c r="L13">
        <f>Calc!L14</f>
        <v>116.91634984375</v>
      </c>
      <c r="M13">
        <f>Calc!M14</f>
        <v>99.378897367187506</v>
      </c>
      <c r="N13">
        <f>Calc!N14</f>
        <v>84.472062762109374</v>
      </c>
    </row>
    <row r="14" spans="1:14" x14ac:dyDescent="0.25">
      <c r="B14" t="s">
        <v>55</v>
      </c>
      <c r="C14" s="59">
        <f>995+219</f>
        <v>1214</v>
      </c>
      <c r="F14">
        <f>SUM(C14:E14)</f>
        <v>1214</v>
      </c>
      <c r="G14">
        <f>Input!G30</f>
        <v>1214</v>
      </c>
      <c r="H14">
        <f>Input!H30</f>
        <v>1214</v>
      </c>
      <c r="I14">
        <f>Input!I30</f>
        <v>1214</v>
      </c>
      <c r="J14">
        <f>Input!J30</f>
        <v>1214</v>
      </c>
      <c r="K14">
        <f>Input!K30</f>
        <v>1214</v>
      </c>
      <c r="L14">
        <f>Input!L30</f>
        <v>1214</v>
      </c>
      <c r="M14">
        <f>Input!M30</f>
        <v>1214</v>
      </c>
      <c r="N14">
        <f>Input!N30</f>
        <v>1214</v>
      </c>
    </row>
    <row r="15" spans="1:14" x14ac:dyDescent="0.25">
      <c r="B15" t="s">
        <v>13</v>
      </c>
      <c r="C15" s="59">
        <v>10</v>
      </c>
      <c r="D15">
        <f>-C15+LBO!D74</f>
        <v>2864.7633286720002</v>
      </c>
      <c r="F15">
        <f>SUM(C15:E15)</f>
        <v>2874.7633286720002</v>
      </c>
      <c r="G15">
        <f>F15</f>
        <v>2874.7633286720002</v>
      </c>
      <c r="H15">
        <f t="shared" ref="H15:N15" si="2">G15</f>
        <v>2874.7633286720002</v>
      </c>
      <c r="I15">
        <f t="shared" si="2"/>
        <v>2874.7633286720002</v>
      </c>
      <c r="J15">
        <f t="shared" si="2"/>
        <v>2874.7633286720002</v>
      </c>
      <c r="K15">
        <f t="shared" si="2"/>
        <v>2874.7633286720002</v>
      </c>
      <c r="L15">
        <f t="shared" si="2"/>
        <v>2874.7633286720002</v>
      </c>
      <c r="M15">
        <f t="shared" si="2"/>
        <v>2874.7633286720002</v>
      </c>
      <c r="N15">
        <f t="shared" si="2"/>
        <v>2874.7633286720002</v>
      </c>
    </row>
    <row r="16" spans="1:14" x14ac:dyDescent="0.25">
      <c r="B16" t="s">
        <v>245</v>
      </c>
      <c r="C16">
        <f>SUM(C9,C11:C15)</f>
        <v>11513</v>
      </c>
      <c r="F16">
        <f t="shared" ref="F16:G16" si="3">SUM(F9,F11:F15)</f>
        <v>14081.763328672001</v>
      </c>
      <c r="G16">
        <f t="shared" ca="1" si="3"/>
        <v>14118.667217112259</v>
      </c>
      <c r="H16">
        <f t="shared" ref="H16:N16" ca="1" si="4">SUM(H9,H11:H15)</f>
        <v>14145.622544007179</v>
      </c>
      <c r="I16">
        <f t="shared" ca="1" si="4"/>
        <v>14194.544309576213</v>
      </c>
      <c r="J16">
        <f t="shared" ca="1" si="4"/>
        <v>14249.071337338082</v>
      </c>
      <c r="K16">
        <f t="shared" ca="1" si="4"/>
        <v>14333.167906082352</v>
      </c>
      <c r="L16">
        <f t="shared" ca="1" si="4"/>
        <v>14431.543886389918</v>
      </c>
      <c r="M16">
        <f t="shared" ca="1" si="4"/>
        <v>14681.052242016223</v>
      </c>
      <c r="N16">
        <f t="shared" ca="1" si="4"/>
        <v>15235.655718753293</v>
      </c>
    </row>
    <row r="18" spans="2:14" x14ac:dyDescent="0.25">
      <c r="B18" t="s">
        <v>193</v>
      </c>
      <c r="C18" s="59">
        <f>838+79</f>
        <v>917</v>
      </c>
      <c r="E18" s="30">
        <f>-C18+LBO!C55</f>
        <v>-917</v>
      </c>
      <c r="F18">
        <f>SUM(C18:E18)</f>
        <v>0</v>
      </c>
      <c r="G18">
        <f ca="1">Debt!G27</f>
        <v>0</v>
      </c>
      <c r="H18">
        <f ca="1">Debt!H27</f>
        <v>0</v>
      </c>
      <c r="I18">
        <f ca="1">Debt!I27</f>
        <v>0</v>
      </c>
      <c r="J18">
        <f ca="1">Debt!J27</f>
        <v>0</v>
      </c>
      <c r="K18">
        <f ca="1">Debt!K27</f>
        <v>0</v>
      </c>
      <c r="L18">
        <f ca="1">Debt!L27</f>
        <v>0</v>
      </c>
      <c r="M18">
        <f ca="1">Debt!M27</f>
        <v>0</v>
      </c>
      <c r="N18">
        <f ca="1">Debt!N27</f>
        <v>0</v>
      </c>
    </row>
    <row r="19" spans="2:14" x14ac:dyDescent="0.25">
      <c r="B19" t="s">
        <v>44</v>
      </c>
      <c r="C19" s="59">
        <v>2660</v>
      </c>
      <c r="F19">
        <f>SUM(C19:E19)</f>
        <v>2660</v>
      </c>
      <c r="G19">
        <f>Input!G31/365*IS!G6</f>
        <v>2739.8</v>
      </c>
      <c r="H19">
        <f>Input!H31/365*IS!H6</f>
        <v>2821.9940000000006</v>
      </c>
      <c r="I19">
        <f>Input!I31/365*IS!I6</f>
        <v>2906.65382</v>
      </c>
      <c r="J19">
        <f>Input!J31/365*IS!J6</f>
        <v>2993.8534346000006</v>
      </c>
      <c r="K19">
        <f>Input!K31/365*IS!K6</f>
        <v>3083.6690376380006</v>
      </c>
      <c r="L19">
        <f>Input!L31/365*IS!L6</f>
        <v>3176.1791087671404</v>
      </c>
      <c r="M19">
        <f>Input!M31/365*IS!M6</f>
        <v>3271.4644820301546</v>
      </c>
      <c r="N19">
        <f>Input!N31/365*IS!N6</f>
        <v>3369.608416491059</v>
      </c>
    </row>
    <row r="20" spans="2:14" x14ac:dyDescent="0.25">
      <c r="B20" t="s">
        <v>123</v>
      </c>
      <c r="C20" s="59">
        <v>530</v>
      </c>
      <c r="F20">
        <f>SUM(C20:E20)</f>
        <v>530</v>
      </c>
      <c r="G20">
        <f>Input!G32*IS!G5</f>
        <v>545.90000000000009</v>
      </c>
      <c r="H20">
        <f>Input!H32*IS!H5</f>
        <v>562.27700000000004</v>
      </c>
      <c r="I20">
        <f>Input!I32*IS!I5</f>
        <v>579.14530999999999</v>
      </c>
      <c r="J20">
        <f>Input!J32*IS!J5</f>
        <v>596.51966930000015</v>
      </c>
      <c r="K20">
        <f>Input!K32*IS!K5</f>
        <v>614.41525937900008</v>
      </c>
      <c r="L20">
        <f>Input!L32*IS!L5</f>
        <v>632.84771716037005</v>
      </c>
      <c r="M20">
        <f>Input!M32*IS!M5</f>
        <v>651.83314867518118</v>
      </c>
      <c r="N20">
        <f>Input!N32*IS!N5</f>
        <v>671.38814313543662</v>
      </c>
    </row>
    <row r="21" spans="2:14" x14ac:dyDescent="0.25">
      <c r="B21" t="s">
        <v>246</v>
      </c>
      <c r="C21">
        <f>SUM(C18:C20)</f>
        <v>4107</v>
      </c>
      <c r="F21">
        <f>SUM(F18:F20)</f>
        <v>3190</v>
      </c>
      <c r="G21">
        <f ca="1">SUM(G18:G20)</f>
        <v>3285.7000000000003</v>
      </c>
      <c r="H21">
        <f t="shared" ref="H21:N21" ca="1" si="5">SUM(H18:H20)</f>
        <v>3384.2710000000006</v>
      </c>
      <c r="I21">
        <f t="shared" ca="1" si="5"/>
        <v>3485.7991299999999</v>
      </c>
      <c r="J21">
        <f t="shared" ca="1" si="5"/>
        <v>3590.3731039000008</v>
      </c>
      <c r="K21">
        <f t="shared" ca="1" si="5"/>
        <v>3698.0842970170006</v>
      </c>
      <c r="L21">
        <f t="shared" ca="1" si="5"/>
        <v>3809.0268259275103</v>
      </c>
      <c r="M21">
        <f t="shared" ca="1" si="5"/>
        <v>3923.2976307053359</v>
      </c>
      <c r="N21">
        <f t="shared" ca="1" si="5"/>
        <v>4040.9965596264956</v>
      </c>
    </row>
    <row r="23" spans="2:14" x14ac:dyDescent="0.25">
      <c r="B23" t="s">
        <v>222</v>
      </c>
      <c r="C23" s="59">
        <v>1107</v>
      </c>
      <c r="E23">
        <f>-C23</f>
        <v>-1107</v>
      </c>
      <c r="F23">
        <f t="shared" ref="F23:F30" si="6">SUM(C23:E23)</f>
        <v>0</v>
      </c>
      <c r="G23">
        <f>F23</f>
        <v>0</v>
      </c>
      <c r="H23">
        <f t="shared" ref="H23:N23" si="7">G23</f>
        <v>0</v>
      </c>
      <c r="I23">
        <f t="shared" si="7"/>
        <v>0</v>
      </c>
      <c r="J23">
        <f t="shared" si="7"/>
        <v>0</v>
      </c>
      <c r="K23">
        <f t="shared" si="7"/>
        <v>0</v>
      </c>
      <c r="L23">
        <f t="shared" si="7"/>
        <v>0</v>
      </c>
      <c r="M23">
        <f t="shared" si="7"/>
        <v>0</v>
      </c>
      <c r="N23">
        <f t="shared" si="7"/>
        <v>0</v>
      </c>
    </row>
    <row r="24" spans="2:14" x14ac:dyDescent="0.25">
      <c r="B24" t="s">
        <v>203</v>
      </c>
      <c r="C24" s="59">
        <v>1284</v>
      </c>
      <c r="F24">
        <f t="shared" si="6"/>
        <v>1284</v>
      </c>
      <c r="G24">
        <f>Calc!G27</f>
        <v>1298.8615500000001</v>
      </c>
      <c r="H24">
        <f>Calc!H27</f>
        <v>1315.9060844999999</v>
      </c>
      <c r="I24">
        <f>Calc!I27</f>
        <v>1335.1296075149996</v>
      </c>
      <c r="J24">
        <f>Calc!J27</f>
        <v>1356.5307826012499</v>
      </c>
      <c r="K24">
        <f>Calc!K27</f>
        <v>1380.1109014656552</v>
      </c>
      <c r="L24">
        <f>Calc!L27</f>
        <v>1405.8738560805382</v>
      </c>
      <c r="M24">
        <f>Calc!M27</f>
        <v>1433.8261142310307</v>
      </c>
      <c r="N24">
        <f>Calc!N27</f>
        <v>1463.9766984273151</v>
      </c>
    </row>
    <row r="25" spans="2:14" x14ac:dyDescent="0.25">
      <c r="B25" t="str">
        <f>LBO!B56</f>
        <v>Term loan B</v>
      </c>
      <c r="C25" s="59"/>
      <c r="E25">
        <f>LBO!C56</f>
        <v>2800</v>
      </c>
      <c r="F25">
        <f t="shared" si="6"/>
        <v>2800</v>
      </c>
      <c r="G25">
        <f ca="1">Debt!G36</f>
        <v>2583.892984679228</v>
      </c>
      <c r="H25">
        <f ca="1">Debt!H36</f>
        <v>2191.7489921736974</v>
      </c>
      <c r="I25">
        <f ca="1">Debt!I36</f>
        <v>1647.7625460060588</v>
      </c>
      <c r="J25">
        <f ca="1">Debt!J36</f>
        <v>1077.659120311569</v>
      </c>
      <c r="K25">
        <f ca="1">Debt!K36</f>
        <v>504.22125518570004</v>
      </c>
      <c r="L25">
        <f ca="1">Debt!L36</f>
        <v>0</v>
      </c>
      <c r="M25">
        <f ca="1">Debt!M36</f>
        <v>0</v>
      </c>
      <c r="N25">
        <f ca="1">Debt!N36</f>
        <v>0</v>
      </c>
    </row>
    <row r="26" spans="2:14" x14ac:dyDescent="0.25">
      <c r="B26" t="str">
        <f>LBO!B57</f>
        <v>Subordinated loan</v>
      </c>
      <c r="C26" s="59"/>
      <c r="E26">
        <f>LBO!C57</f>
        <v>800</v>
      </c>
      <c r="F26">
        <f t="shared" si="6"/>
        <v>800</v>
      </c>
      <c r="G26">
        <f ca="1">Debt!G45</f>
        <v>800</v>
      </c>
      <c r="H26">
        <f ca="1">Debt!H45</f>
        <v>800</v>
      </c>
      <c r="I26">
        <f ca="1">Debt!I45</f>
        <v>800</v>
      </c>
      <c r="J26">
        <f ca="1">Debt!J45</f>
        <v>800</v>
      </c>
      <c r="K26">
        <f ca="1">Debt!K45</f>
        <v>800</v>
      </c>
      <c r="L26">
        <f ca="1">Debt!L45</f>
        <v>709.48973282329098</v>
      </c>
      <c r="M26">
        <f ca="1">Debt!M45</f>
        <v>222.71708875864942</v>
      </c>
      <c r="N26">
        <f ca="1">Debt!N45</f>
        <v>0</v>
      </c>
    </row>
    <row r="27" spans="2:14" x14ac:dyDescent="0.25">
      <c r="B27" t="s">
        <v>187</v>
      </c>
      <c r="C27" s="59"/>
      <c r="E27">
        <f>LBO!C58</f>
        <v>0</v>
      </c>
      <c r="F27">
        <f t="shared" si="6"/>
        <v>0</v>
      </c>
      <c r="G27" s="30">
        <f ca="1">Debt!G54</f>
        <v>0</v>
      </c>
      <c r="H27" s="30">
        <f ca="1">Debt!H54</f>
        <v>0</v>
      </c>
      <c r="I27" s="30">
        <f ca="1">Debt!I54</f>
        <v>0</v>
      </c>
      <c r="J27" s="30">
        <f ca="1">Debt!J54</f>
        <v>0</v>
      </c>
      <c r="K27" s="30">
        <f ca="1">Debt!K54</f>
        <v>0</v>
      </c>
      <c r="L27" s="30">
        <f ca="1">Debt!L54</f>
        <v>0</v>
      </c>
      <c r="M27" s="30">
        <f ca="1">Debt!M54</f>
        <v>0</v>
      </c>
      <c r="N27" s="30">
        <f ca="1">Debt!N54</f>
        <v>0</v>
      </c>
    </row>
    <row r="28" spans="2:14" x14ac:dyDescent="0.25">
      <c r="B28" s="79" t="s">
        <v>74</v>
      </c>
      <c r="C28" s="59"/>
      <c r="E28">
        <f>LBO!C59</f>
        <v>1000</v>
      </c>
      <c r="F28" s="79">
        <f t="shared" si="6"/>
        <v>1000</v>
      </c>
      <c r="G28">
        <f>Debt!G60</f>
        <v>1130</v>
      </c>
      <c r="H28">
        <f>Debt!H60</f>
        <v>1276.9000000000001</v>
      </c>
      <c r="I28">
        <f>Debt!I60</f>
        <v>1442.8970000000002</v>
      </c>
      <c r="J28">
        <f>Debt!J60</f>
        <v>1630.4736100000002</v>
      </c>
      <c r="K28">
        <f>Debt!K60</f>
        <v>1842.4351793000003</v>
      </c>
      <c r="L28">
        <f>Debt!L60</f>
        <v>2081.9517526090003</v>
      </c>
      <c r="M28">
        <f>Debt!M60</f>
        <v>2352.6054804481705</v>
      </c>
      <c r="N28">
        <f>Debt!N60</f>
        <v>2658.4441929064328</v>
      </c>
    </row>
    <row r="29" spans="2:14" x14ac:dyDescent="0.25">
      <c r="B29" t="s">
        <v>90</v>
      </c>
      <c r="C29" s="59"/>
      <c r="E29">
        <f>LBO!C60</f>
        <v>2878.0045952454402</v>
      </c>
      <c r="F29">
        <f t="shared" si="6"/>
        <v>2878.0045952454402</v>
      </c>
      <c r="G29">
        <f>Calc!G32</f>
        <v>3223.3651466748929</v>
      </c>
      <c r="H29">
        <f>Calc!H32</f>
        <v>3610.1689642758802</v>
      </c>
      <c r="I29">
        <f>Calc!I32</f>
        <v>4043.3892399889855</v>
      </c>
      <c r="J29">
        <f>Calc!J32</f>
        <v>4528.5959487876635</v>
      </c>
      <c r="K29">
        <f>Calc!K32</f>
        <v>5072.0274626421833</v>
      </c>
      <c r="L29">
        <f>Calc!L32</f>
        <v>5680.6707581592455</v>
      </c>
      <c r="M29">
        <f>Calc!M32</f>
        <v>6362.3512491383553</v>
      </c>
      <c r="N29">
        <f>Calc!N32</f>
        <v>7125.8333990349583</v>
      </c>
    </row>
    <row r="30" spans="2:14" x14ac:dyDescent="0.25">
      <c r="B30" t="s">
        <v>57</v>
      </c>
      <c r="C30" s="59">
        <f>83+746+2</f>
        <v>831</v>
      </c>
      <c r="F30">
        <f t="shared" si="6"/>
        <v>831</v>
      </c>
      <c r="G30">
        <f>Input!G33</f>
        <v>831</v>
      </c>
      <c r="H30">
        <f>Input!H33</f>
        <v>831</v>
      </c>
      <c r="I30">
        <f>Input!I33</f>
        <v>831</v>
      </c>
      <c r="J30">
        <f>Input!J33</f>
        <v>831</v>
      </c>
      <c r="K30">
        <f>Input!K33</f>
        <v>831</v>
      </c>
      <c r="L30">
        <f>Input!L33</f>
        <v>831</v>
      </c>
      <c r="M30">
        <f>Input!M33</f>
        <v>831</v>
      </c>
      <c r="N30">
        <f>Input!N33</f>
        <v>831</v>
      </c>
    </row>
    <row r="31" spans="2:14" x14ac:dyDescent="0.25">
      <c r="B31" t="s">
        <v>247</v>
      </c>
      <c r="C31">
        <f>SUM(C21,C23:C30)</f>
        <v>7329</v>
      </c>
      <c r="F31">
        <f t="shared" ref="F31:G31" si="8">SUM(F21,F23:F30)</f>
        <v>12783.00459524544</v>
      </c>
      <c r="G31">
        <f t="shared" ca="1" si="8"/>
        <v>13152.819681354122</v>
      </c>
      <c r="H31">
        <f t="shared" ref="H31:N31" ca="1" si="9">SUM(H21,H23:H30)</f>
        <v>13409.99504094958</v>
      </c>
      <c r="I31">
        <f t="shared" ca="1" si="9"/>
        <v>13585.977523510046</v>
      </c>
      <c r="J31">
        <f t="shared" ca="1" si="9"/>
        <v>13814.632565600485</v>
      </c>
      <c r="K31">
        <f t="shared" ca="1" si="9"/>
        <v>14127.879095610539</v>
      </c>
      <c r="L31">
        <f t="shared" ca="1" si="9"/>
        <v>14518.012925599585</v>
      </c>
      <c r="M31">
        <f t="shared" ca="1" si="9"/>
        <v>15125.797563281541</v>
      </c>
      <c r="N31">
        <f t="shared" ca="1" si="9"/>
        <v>16120.250849995202</v>
      </c>
    </row>
    <row r="33" spans="1:14" x14ac:dyDescent="0.25">
      <c r="B33" t="s">
        <v>28</v>
      </c>
      <c r="C33" s="59">
        <v>4184</v>
      </c>
      <c r="D33">
        <f>-C33-LBO!D48</f>
        <v>-4385.24126657344</v>
      </c>
      <c r="E33">
        <f>LBO!C61</f>
        <v>1500</v>
      </c>
      <c r="F33">
        <f>SUM(C33:E33)</f>
        <v>1298.75873342656</v>
      </c>
      <c r="G33">
        <f ca="1">Calc!G38</f>
        <v>965.84753575813625</v>
      </c>
      <c r="H33">
        <f ca="1">Calc!H38</f>
        <v>735.62750305759948</v>
      </c>
      <c r="I33">
        <f ca="1">Calc!I38</f>
        <v>608.5667860661697</v>
      </c>
      <c r="J33">
        <f ca="1">Calc!J38</f>
        <v>434.43877173759688</v>
      </c>
      <c r="K33">
        <f ca="1">Calc!K38</f>
        <v>205.28881047180641</v>
      </c>
      <c r="L33">
        <f ca="1">Calc!L38</f>
        <v>-86.469039184109988</v>
      </c>
      <c r="M33">
        <f ca="1">Calc!M38</f>
        <v>-444.74533767564702</v>
      </c>
      <c r="N33">
        <f ca="1">Calc!N38</f>
        <v>-884.59533883189897</v>
      </c>
    </row>
    <row r="34" spans="1:14" x14ac:dyDescent="0.25">
      <c r="B34" t="s">
        <v>248</v>
      </c>
      <c r="C34">
        <f t="shared" ref="C34" si="10">SUM(C31,C33)</f>
        <v>11513</v>
      </c>
      <c r="F34">
        <f>F31+F33</f>
        <v>14081.763328672001</v>
      </c>
      <c r="G34">
        <f ca="1">G31+G33</f>
        <v>14118.667217112257</v>
      </c>
      <c r="H34">
        <f t="shared" ref="H34:N34" ca="1" si="11">H31+H33</f>
        <v>14145.622544007179</v>
      </c>
      <c r="I34">
        <f t="shared" ca="1" si="11"/>
        <v>14194.544309576217</v>
      </c>
      <c r="J34">
        <f t="shared" ca="1" si="11"/>
        <v>14249.071337338082</v>
      </c>
      <c r="K34">
        <f t="shared" ca="1" si="11"/>
        <v>14333.167906082344</v>
      </c>
      <c r="L34">
        <f t="shared" ca="1" si="11"/>
        <v>14431.543886415475</v>
      </c>
      <c r="M34">
        <f t="shared" ca="1" si="11"/>
        <v>14681.052225605894</v>
      </c>
      <c r="N34">
        <f t="shared" ca="1" si="11"/>
        <v>15235.655511163302</v>
      </c>
    </row>
    <row r="36" spans="1:14" x14ac:dyDescent="0.25">
      <c r="B36" t="s">
        <v>45</v>
      </c>
      <c r="C36" s="63">
        <f>C16-C34</f>
        <v>0</v>
      </c>
      <c r="F36" s="63">
        <f t="shared" ref="F36:N36" si="12">F16-F34</f>
        <v>0</v>
      </c>
      <c r="G36" s="63">
        <f t="shared" ca="1" si="12"/>
        <v>0</v>
      </c>
      <c r="H36" s="63">
        <f t="shared" ca="1" si="12"/>
        <v>0</v>
      </c>
      <c r="I36" s="63">
        <f t="shared" ca="1" si="12"/>
        <v>0</v>
      </c>
      <c r="J36" s="63">
        <f t="shared" ca="1" si="12"/>
        <v>0</v>
      </c>
      <c r="K36" s="63">
        <f t="shared" ca="1" si="12"/>
        <v>0</v>
      </c>
      <c r="L36" s="63">
        <f t="shared" ca="1" si="12"/>
        <v>-2.5556801119819283E-8</v>
      </c>
      <c r="M36" s="63">
        <f t="shared" ca="1" si="12"/>
        <v>1.6410329408245161E-5</v>
      </c>
      <c r="N36" s="63">
        <f t="shared" ca="1" si="12"/>
        <v>2.0758999016834423E-4</v>
      </c>
    </row>
    <row r="38" spans="1:14" ht="15.75" x14ac:dyDescent="0.25">
      <c r="A38" s="84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8"/>
  <sheetViews>
    <sheetView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s">
        <v>162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N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si="0"/>
        <v>46691</v>
      </c>
      <c r="M3" s="11">
        <f t="shared" si="0"/>
        <v>47057</v>
      </c>
      <c r="N3" s="11">
        <f t="shared" si="0"/>
        <v>47422</v>
      </c>
    </row>
    <row r="5" spans="1:14" x14ac:dyDescent="0.25">
      <c r="B5" t="s">
        <v>121</v>
      </c>
      <c r="G5">
        <f>IS!G20</f>
        <v>865.04166000000009</v>
      </c>
      <c r="H5">
        <f>IS!H20</f>
        <v>1043.3610717999973</v>
      </c>
      <c r="I5">
        <f>IS!I20</f>
        <v>1223.6760474739999</v>
      </c>
      <c r="J5">
        <f>IS!J20</f>
        <v>1226.0425037574194</v>
      </c>
      <c r="K5">
        <f>IS!K20</f>
        <v>1230.0820655601724</v>
      </c>
      <c r="L5">
        <f>IS!L20</f>
        <v>1235.6684412075981</v>
      </c>
      <c r="M5">
        <f>IS!M20</f>
        <v>1242.6943339680415</v>
      </c>
      <c r="N5">
        <f>IS!N20</f>
        <v>1251.0688100538077</v>
      </c>
    </row>
    <row r="6" spans="1:14" x14ac:dyDescent="0.25">
      <c r="B6" t="s">
        <v>218</v>
      </c>
      <c r="G6">
        <f ca="1">IF(switch=1,Debt!G68+Debt!G74,0)</f>
        <v>-218.27707709365376</v>
      </c>
      <c r="H6">
        <f ca="1">IF(switch=1,Debt!H68+Debt!H74,0)</f>
        <v>-206.38669510808319</v>
      </c>
      <c r="I6">
        <f ca="1">IF(switch=1,Debt!I68+Debt!I74,0)</f>
        <v>-188.01004624007911</v>
      </c>
      <c r="J6">
        <f ca="1">IF(switch=1,Debt!J68+Debt!J74,0)</f>
        <v>-166.13758344607186</v>
      </c>
      <c r="K6">
        <f ca="1">IF(switch=1,Debt!K68+Debt!K74,0)</f>
        <v>-143.75203725251316</v>
      </c>
      <c r="L6">
        <f ca="1">IF(switch=1,Debt!L68+Debt!L74,0)</f>
        <v>-119.11451589203955</v>
      </c>
      <c r="M6">
        <f ca="1">IF(switch=1,Debt!M68+Debt!M74,0)</f>
        <v>-86.245656057666352</v>
      </c>
      <c r="N6">
        <f ca="1">IF(switch=1,Debt!N68+Debt!N74,0)</f>
        <v>-57.284847735920785</v>
      </c>
    </row>
    <row r="7" spans="1:14" x14ac:dyDescent="0.25">
      <c r="B7" t="s">
        <v>95</v>
      </c>
      <c r="G7" s="96">
        <f ca="1">IS!G14</f>
        <v>-0.65522914531731835</v>
      </c>
      <c r="H7">
        <f ca="1">IS!H14</f>
        <v>-36.729529791463669</v>
      </c>
      <c r="I7">
        <f ca="1">IS!I14</f>
        <v>-71.815205132244955</v>
      </c>
      <c r="J7">
        <f ca="1">IS!J14</f>
        <v>-72.969076480642002</v>
      </c>
      <c r="K7">
        <f ca="1">IS!K14</f>
        <v>-73.720364187479703</v>
      </c>
      <c r="L7">
        <f ca="1">IS!L14</f>
        <v>-74.331153967233803</v>
      </c>
      <c r="M7">
        <f ca="1">IS!M14</f>
        <v>-75.860242802495264</v>
      </c>
      <c r="N7">
        <f ca="1">IS!N14</f>
        <v>-75.913716078286114</v>
      </c>
    </row>
    <row r="8" spans="1:14" x14ac:dyDescent="0.25">
      <c r="B8" t="s">
        <v>46</v>
      </c>
      <c r="G8">
        <f>BS!F14-BS!G14</f>
        <v>0</v>
      </c>
      <c r="H8">
        <f>BS!G14-BS!H14</f>
        <v>0</v>
      </c>
      <c r="I8">
        <f>BS!H14-BS!I14</f>
        <v>0</v>
      </c>
      <c r="J8">
        <f>BS!I14-BS!J14</f>
        <v>0</v>
      </c>
      <c r="K8">
        <f>BS!J14-BS!K14</f>
        <v>0</v>
      </c>
      <c r="L8">
        <f>BS!K14-BS!L14</f>
        <v>0</v>
      </c>
      <c r="M8">
        <f>BS!L14-BS!M14</f>
        <v>0</v>
      </c>
      <c r="N8">
        <f>BS!M14-BS!N14</f>
        <v>0</v>
      </c>
    </row>
    <row r="9" spans="1:14" x14ac:dyDescent="0.25">
      <c r="B9" t="s">
        <v>47</v>
      </c>
      <c r="G9">
        <f>BS!G30-BS!F30</f>
        <v>0</v>
      </c>
      <c r="H9">
        <f>BS!H30-BS!G30</f>
        <v>0</v>
      </c>
      <c r="I9">
        <f>BS!I30-BS!H30</f>
        <v>0</v>
      </c>
      <c r="J9">
        <f>BS!J30-BS!I30</f>
        <v>0</v>
      </c>
      <c r="K9">
        <f>BS!K30-BS!J30</f>
        <v>0</v>
      </c>
      <c r="L9">
        <f>BS!L30-BS!K30</f>
        <v>0</v>
      </c>
      <c r="M9">
        <f>BS!M30-BS!L30</f>
        <v>0</v>
      </c>
      <c r="N9">
        <f>BS!N30-BS!M30</f>
        <v>0</v>
      </c>
    </row>
    <row r="10" spans="1:14" x14ac:dyDescent="0.25">
      <c r="B10" t="s">
        <v>48</v>
      </c>
      <c r="G10" s="96">
        <f>Calc!F46-Calc!G46</f>
        <v>53.220000000000255</v>
      </c>
      <c r="H10">
        <f>Calc!G46-Calc!H46</f>
        <v>54.816600000000108</v>
      </c>
      <c r="I10">
        <f>Calc!H46-Calc!I46</f>
        <v>56.461097999999311</v>
      </c>
      <c r="J10">
        <f>Calc!I46-Calc!J46</f>
        <v>58.154930940000895</v>
      </c>
      <c r="K10">
        <f>Calc!J46-Calc!K46</f>
        <v>59.899578868199796</v>
      </c>
      <c r="L10">
        <f>Calc!K46-Calc!L46</f>
        <v>61.696566234245438</v>
      </c>
      <c r="M10">
        <f>Calc!L46-Calc!M46</f>
        <v>63.547463221273574</v>
      </c>
      <c r="N10">
        <f>Calc!M46-Calc!N46</f>
        <v>65.453887117911563</v>
      </c>
    </row>
    <row r="11" spans="1:14" x14ac:dyDescent="0.25">
      <c r="B11" t="s">
        <v>49</v>
      </c>
      <c r="G11">
        <f t="shared" ref="G11" ca="1" si="1">SUM(G5:G10)</f>
        <v>699.32935376102921</v>
      </c>
      <c r="H11">
        <f t="shared" ref="H11:N11" ca="1" si="2">SUM(H5:H10)</f>
        <v>855.06144690045062</v>
      </c>
      <c r="I11">
        <f t="shared" ca="1" si="2"/>
        <v>1020.3118941016751</v>
      </c>
      <c r="J11">
        <f t="shared" ca="1" si="2"/>
        <v>1045.0907747707065</v>
      </c>
      <c r="K11">
        <f t="shared" ca="1" si="2"/>
        <v>1072.5092429883794</v>
      </c>
      <c r="L11">
        <f t="shared" ca="1" si="2"/>
        <v>1103.9193375825701</v>
      </c>
      <c r="M11">
        <f t="shared" ca="1" si="2"/>
        <v>1144.1358983291534</v>
      </c>
      <c r="N11">
        <f t="shared" ca="1" si="2"/>
        <v>1183.3241333575124</v>
      </c>
    </row>
    <row r="13" spans="1:14" x14ac:dyDescent="0.25">
      <c r="B13" t="s">
        <v>50</v>
      </c>
      <c r="G13" s="96">
        <f>-Calc!G7</f>
        <v>-370.8</v>
      </c>
      <c r="H13">
        <f>-Calc!H7</f>
        <v>-381.92400000000004</v>
      </c>
      <c r="I13">
        <f>-Calc!I7</f>
        <v>-393.38172000000003</v>
      </c>
      <c r="J13">
        <f>-Calc!J7</f>
        <v>-405.18317160000004</v>
      </c>
      <c r="K13">
        <f>-Calc!K7</f>
        <v>-417.33866674800009</v>
      </c>
      <c r="L13">
        <f>-Calc!L7</f>
        <v>-429.85882675044007</v>
      </c>
      <c r="M13">
        <f>-Calc!M7</f>
        <v>-442.75459155295323</v>
      </c>
      <c r="N13">
        <f>-Calc!N7</f>
        <v>-456.03722929954182</v>
      </c>
    </row>
    <row r="14" spans="1:14" x14ac:dyDescent="0.25">
      <c r="B14" t="s">
        <v>51</v>
      </c>
      <c r="G14">
        <f>G13</f>
        <v>-370.8</v>
      </c>
      <c r="H14">
        <f t="shared" ref="H14:N14" si="3">H13</f>
        <v>-381.92400000000004</v>
      </c>
      <c r="I14">
        <f t="shared" si="3"/>
        <v>-393.38172000000003</v>
      </c>
      <c r="J14">
        <f t="shared" si="3"/>
        <v>-405.18317160000004</v>
      </c>
      <c r="K14">
        <f t="shared" si="3"/>
        <v>-417.33866674800009</v>
      </c>
      <c r="L14">
        <f t="shared" si="3"/>
        <v>-429.85882675044007</v>
      </c>
      <c r="M14">
        <f t="shared" si="3"/>
        <v>-442.75459155295323</v>
      </c>
      <c r="N14">
        <f t="shared" si="3"/>
        <v>-456.03722929954182</v>
      </c>
    </row>
    <row r="16" spans="1:14" x14ac:dyDescent="0.25">
      <c r="B16" t="s">
        <v>194</v>
      </c>
      <c r="G16">
        <f ca="1">BS!G18-BS!F18</f>
        <v>0</v>
      </c>
      <c r="H16">
        <f ca="1">BS!H18-BS!G18</f>
        <v>0</v>
      </c>
      <c r="I16">
        <f ca="1">BS!I18-BS!H18</f>
        <v>0</v>
      </c>
      <c r="J16">
        <f ca="1">BS!J18-BS!I18</f>
        <v>0</v>
      </c>
      <c r="K16">
        <f ca="1">BS!K18-BS!J18</f>
        <v>0</v>
      </c>
      <c r="L16">
        <f ca="1">BS!L18-BS!K18</f>
        <v>0</v>
      </c>
      <c r="M16">
        <f ca="1">BS!M18-BS!L18</f>
        <v>0</v>
      </c>
      <c r="N16">
        <f ca="1">BS!N18-BS!M18</f>
        <v>0</v>
      </c>
    </row>
    <row r="17" spans="1:14" x14ac:dyDescent="0.25">
      <c r="B17" t="s">
        <v>59</v>
      </c>
      <c r="G17">
        <f>BS!G23-BS!F23</f>
        <v>0</v>
      </c>
      <c r="H17">
        <f>BS!H23-BS!G23</f>
        <v>0</v>
      </c>
      <c r="I17">
        <f>BS!I23-BS!H23</f>
        <v>0</v>
      </c>
      <c r="J17">
        <f>BS!J23-BS!I23</f>
        <v>0</v>
      </c>
      <c r="K17">
        <f>BS!K23-BS!J23</f>
        <v>0</v>
      </c>
      <c r="L17">
        <f>BS!L23-BS!K23</f>
        <v>0</v>
      </c>
      <c r="M17">
        <f>BS!M23-BS!L23</f>
        <v>0</v>
      </c>
      <c r="N17">
        <f>BS!N23-BS!M23</f>
        <v>0</v>
      </c>
    </row>
    <row r="18" spans="1:14" x14ac:dyDescent="0.25">
      <c r="B18" t="str">
        <f>"Inc (dec) in "&amp;BS!B25</f>
        <v>Inc (dec) in Term loan B</v>
      </c>
      <c r="G18">
        <f ca="1">BS!G25-BS!F25</f>
        <v>-216.10701532077201</v>
      </c>
      <c r="H18">
        <f ca="1">BS!H25-BS!G25</f>
        <v>-392.1439925055306</v>
      </c>
      <c r="I18">
        <f ca="1">BS!I25-BS!H25</f>
        <v>-543.98644616763863</v>
      </c>
      <c r="J18">
        <f ca="1">BS!J25-BS!I25</f>
        <v>-570.10342569448972</v>
      </c>
      <c r="K18">
        <f ca="1">BS!K25-BS!J25</f>
        <v>-573.43786512586894</v>
      </c>
      <c r="L18">
        <f ca="1">BS!L25-BS!K25</f>
        <v>-504.22125518570004</v>
      </c>
      <c r="M18">
        <f ca="1">BS!M25-BS!L25</f>
        <v>0</v>
      </c>
      <c r="N18">
        <f ca="1">BS!N25-BS!M25</f>
        <v>0</v>
      </c>
    </row>
    <row r="19" spans="1:14" x14ac:dyDescent="0.25">
      <c r="B19" t="str">
        <f>"Inc (dec) in "&amp;BS!B26</f>
        <v>Inc (dec) in Subordinated loan</v>
      </c>
      <c r="G19">
        <f ca="1">BS!G26-BS!F26</f>
        <v>0</v>
      </c>
      <c r="H19">
        <f ca="1">BS!H26-BS!G26</f>
        <v>0</v>
      </c>
      <c r="I19">
        <f ca="1">BS!I26-BS!H26</f>
        <v>0</v>
      </c>
      <c r="J19">
        <f ca="1">BS!J26-BS!I26</f>
        <v>0</v>
      </c>
      <c r="K19">
        <f ca="1">BS!K26-BS!J26</f>
        <v>0</v>
      </c>
      <c r="L19">
        <f ca="1">BS!L26-BS!K26</f>
        <v>-90.510267176709021</v>
      </c>
      <c r="M19">
        <f ca="1">BS!M26-BS!L26</f>
        <v>-486.77264406464155</v>
      </c>
      <c r="N19">
        <f ca="1">BS!N26-BS!M26</f>
        <v>-222.71708875864942</v>
      </c>
    </row>
    <row r="20" spans="1:14" x14ac:dyDescent="0.25">
      <c r="B20" t="str">
        <f>"Inc (dec) in "&amp;BS!B27</f>
        <v>Inc (dec) in Senior bonds</v>
      </c>
      <c r="G20" s="30">
        <f ca="1">BS!G27-BS!F27</f>
        <v>0</v>
      </c>
      <c r="H20" s="30">
        <f ca="1">BS!H27-BS!G27</f>
        <v>0</v>
      </c>
      <c r="I20" s="30">
        <f ca="1">BS!I27-BS!H27</f>
        <v>0</v>
      </c>
      <c r="J20" s="30">
        <f ca="1">BS!J27-BS!I27</f>
        <v>0</v>
      </c>
      <c r="K20" s="30">
        <f ca="1">BS!K27-BS!J27</f>
        <v>0</v>
      </c>
      <c r="L20" s="30">
        <f ca="1">BS!L27-BS!K27</f>
        <v>0</v>
      </c>
      <c r="M20" s="30">
        <f ca="1">BS!M27-BS!L27</f>
        <v>0</v>
      </c>
      <c r="N20" s="30">
        <f ca="1">BS!N27-BS!M27</f>
        <v>0</v>
      </c>
    </row>
    <row r="21" spans="1:14" x14ac:dyDescent="0.25">
      <c r="B21" t="s">
        <v>199</v>
      </c>
      <c r="G21">
        <f>Calc!G26+Calc!G25</f>
        <v>-77.720000000000084</v>
      </c>
      <c r="H21">
        <f>Calc!H26+Calc!H25</f>
        <v>-78.314462000000219</v>
      </c>
      <c r="I21">
        <f>Calc!I26+Calc!I25</f>
        <v>-78.996243380000294</v>
      </c>
      <c r="J21">
        <f>Calc!J26+Calc!J25</f>
        <v>-79.765184300599714</v>
      </c>
      <c r="K21">
        <f>Calc!K26+Calc!K25</f>
        <v>-80.621231304050241</v>
      </c>
      <c r="L21">
        <f>Calc!L26+Calc!L25</f>
        <v>-81.5644360586262</v>
      </c>
      <c r="M21">
        <f>Calc!M26+Calc!M25</f>
        <v>-82.59495424322202</v>
      </c>
      <c r="N21">
        <f>Calc!N26+Calc!N25</f>
        <v>-83.713044569241532</v>
      </c>
    </row>
    <row r="22" spans="1:14" x14ac:dyDescent="0.25">
      <c r="B22" t="s">
        <v>52</v>
      </c>
      <c r="G22">
        <f ca="1">SUM(G16:G21)</f>
        <v>-293.82701532077209</v>
      </c>
      <c r="H22">
        <f t="shared" ref="H22:N22" ca="1" si="4">SUM(H16:H21)</f>
        <v>-470.45845450553082</v>
      </c>
      <c r="I22">
        <f t="shared" ca="1" si="4"/>
        <v>-622.98268954763898</v>
      </c>
      <c r="J22">
        <f t="shared" ca="1" si="4"/>
        <v>-649.8686099950894</v>
      </c>
      <c r="K22">
        <f t="shared" ca="1" si="4"/>
        <v>-654.05909642991924</v>
      </c>
      <c r="L22">
        <f t="shared" ca="1" si="4"/>
        <v>-676.29595842103527</v>
      </c>
      <c r="M22">
        <f t="shared" ca="1" si="4"/>
        <v>-569.36759830786355</v>
      </c>
      <c r="N22">
        <f t="shared" ca="1" si="4"/>
        <v>-306.43013332789099</v>
      </c>
    </row>
    <row r="24" spans="1:14" x14ac:dyDescent="0.25">
      <c r="B24" t="s">
        <v>32</v>
      </c>
      <c r="G24">
        <f>F26</f>
        <v>0</v>
      </c>
      <c r="H24">
        <f t="shared" ref="H24:N24" ca="1" si="5">G26</f>
        <v>34.702338440257108</v>
      </c>
      <c r="I24">
        <f t="shared" ca="1" si="5"/>
        <v>37.381330835176868</v>
      </c>
      <c r="J24">
        <f t="shared" ca="1" si="5"/>
        <v>41.328815389212878</v>
      </c>
      <c r="K24">
        <f t="shared" ca="1" si="5"/>
        <v>31.367808564829943</v>
      </c>
      <c r="L24">
        <f t="shared" ca="1" si="5"/>
        <v>32.479288375295368</v>
      </c>
      <c r="M24">
        <f t="shared" ca="1" si="5"/>
        <v>30.243840761659044</v>
      </c>
      <c r="N24">
        <f t="shared" ca="1" si="5"/>
        <v>162.25756515334422</v>
      </c>
    </row>
    <row r="25" spans="1:14" x14ac:dyDescent="0.25">
      <c r="B25" t="s">
        <v>53</v>
      </c>
      <c r="G25">
        <f ca="1">G11+G14+G22</f>
        <v>34.702338440257108</v>
      </c>
      <c r="H25">
        <f t="shared" ref="H25:N25" ca="1" si="6">H11+H14+H22</f>
        <v>2.67899239491976</v>
      </c>
      <c r="I25">
        <f t="shared" ca="1" si="6"/>
        <v>3.9474845540360093</v>
      </c>
      <c r="J25">
        <f t="shared" ca="1" si="6"/>
        <v>-9.9610068243829346</v>
      </c>
      <c r="K25">
        <f t="shared" ca="1" si="6"/>
        <v>1.1114798104599686</v>
      </c>
      <c r="L25">
        <f t="shared" ca="1" si="6"/>
        <v>-2.2354475889053447</v>
      </c>
      <c r="M25">
        <f t="shared" ca="1" si="6"/>
        <v>132.01370846833663</v>
      </c>
      <c r="N25">
        <f t="shared" ca="1" si="6"/>
        <v>420.85677073007957</v>
      </c>
    </row>
    <row r="26" spans="1:14" x14ac:dyDescent="0.25">
      <c r="B26" t="s">
        <v>54</v>
      </c>
      <c r="F26">
        <f>BS!F5</f>
        <v>0</v>
      </c>
      <c r="G26">
        <f ca="1">SUM(G24:G25)</f>
        <v>34.702338440257108</v>
      </c>
      <c r="H26">
        <f t="shared" ref="H26:N26" ca="1" si="7">SUM(H24:H25)</f>
        <v>37.381330835176868</v>
      </c>
      <c r="I26">
        <f t="shared" ca="1" si="7"/>
        <v>41.328815389212878</v>
      </c>
      <c r="J26">
        <f t="shared" ca="1" si="7"/>
        <v>31.367808564829943</v>
      </c>
      <c r="K26">
        <f t="shared" ca="1" si="7"/>
        <v>32.479288375289912</v>
      </c>
      <c r="L26">
        <f t="shared" ca="1" si="7"/>
        <v>30.243840786390024</v>
      </c>
      <c r="M26">
        <f t="shared" ca="1" si="7"/>
        <v>162.25754922999567</v>
      </c>
      <c r="N26">
        <f t="shared" ca="1" si="7"/>
        <v>583.11433588342379</v>
      </c>
    </row>
    <row r="28" spans="1:14" ht="15.75" x14ac:dyDescent="0.25">
      <c r="A28" s="84" t="s">
        <v>163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7"/>
  <sheetViews>
    <sheetView zoomScaleNormal="100" workbookViewId="0"/>
  </sheetViews>
  <sheetFormatPr defaultRowHeight="15" x14ac:dyDescent="0.25"/>
  <cols>
    <col min="1" max="1" width="1.5703125" customWidth="1"/>
    <col min="2" max="2" width="20.5703125" customWidth="1"/>
    <col min="3" max="14" width="9.7109375" customWidth="1"/>
  </cols>
  <sheetData>
    <row r="1" spans="1:14" ht="28.5" x14ac:dyDescent="0.45">
      <c r="A1" s="5" t="str">
        <f>Title</f>
        <v>Morrisons LBO</v>
      </c>
      <c r="B1" s="10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8.75" x14ac:dyDescent="0.3">
      <c r="A2" s="83" t="str">
        <f>Info!N9</f>
        <v>£ MM</v>
      </c>
      <c r="B2" s="7"/>
      <c r="C2" s="11" t="s">
        <v>16</v>
      </c>
      <c r="D2" s="11"/>
      <c r="E2" s="11"/>
      <c r="F2" s="11"/>
      <c r="G2" s="11" t="s">
        <v>17</v>
      </c>
      <c r="H2" s="11" t="s">
        <v>17</v>
      </c>
      <c r="I2" s="11" t="s">
        <v>17</v>
      </c>
      <c r="J2" s="11" t="s">
        <v>17</v>
      </c>
      <c r="K2" s="11" t="s">
        <v>17</v>
      </c>
      <c r="L2" s="11" t="s">
        <v>17</v>
      </c>
      <c r="M2" s="11" t="s">
        <v>17</v>
      </c>
      <c r="N2" s="11" t="s">
        <v>17</v>
      </c>
    </row>
    <row r="3" spans="1:14" ht="18.75" x14ac:dyDescent="0.3">
      <c r="A3" s="82" t="e" cm="1">
        <f t="array" aca="1" ref="A3" ca="1">MID(CELL("filename",#REF!),FIND("]",CELL("filename",#REF!))+1,255)</f>
        <v>#REF!</v>
      </c>
      <c r="B3" s="7"/>
      <c r="C3" s="11">
        <f>target_yrend</f>
        <v>44500</v>
      </c>
      <c r="D3" s="11" t="s">
        <v>78</v>
      </c>
      <c r="E3" s="11" t="s">
        <v>79</v>
      </c>
      <c r="F3" s="11" t="s">
        <v>80</v>
      </c>
      <c r="G3" s="11">
        <f>EDATE(C3,12)</f>
        <v>44865</v>
      </c>
      <c r="H3" s="11">
        <f t="shared" ref="H3:N3" si="0">EDATE(G3,12)</f>
        <v>45230</v>
      </c>
      <c r="I3" s="11">
        <f t="shared" si="0"/>
        <v>45596</v>
      </c>
      <c r="J3" s="11">
        <f t="shared" si="0"/>
        <v>45961</v>
      </c>
      <c r="K3" s="11">
        <f t="shared" si="0"/>
        <v>46326</v>
      </c>
      <c r="L3" s="11">
        <f t="shared" si="0"/>
        <v>46691</v>
      </c>
      <c r="M3" s="11">
        <f t="shared" si="0"/>
        <v>47057</v>
      </c>
      <c r="N3" s="11">
        <f t="shared" si="0"/>
        <v>47422</v>
      </c>
    </row>
    <row r="5" spans="1:14" x14ac:dyDescent="0.25">
      <c r="A5" s="60" t="s">
        <v>94</v>
      </c>
      <c r="G5" s="58"/>
      <c r="H5" s="58"/>
      <c r="I5" s="58"/>
      <c r="J5" s="58"/>
      <c r="K5" s="58"/>
      <c r="L5" s="58"/>
      <c r="M5" s="58"/>
      <c r="N5" s="58"/>
    </row>
    <row r="6" spans="1:14" x14ac:dyDescent="0.25">
      <c r="B6" t="s">
        <v>229</v>
      </c>
      <c r="G6" s="70">
        <v>0.04</v>
      </c>
      <c r="H6" s="70">
        <v>0.1</v>
      </c>
      <c r="I6" s="70">
        <v>0.15</v>
      </c>
      <c r="J6" s="70">
        <v>0.17</v>
      </c>
      <c r="K6" s="70">
        <v>0.17</v>
      </c>
      <c r="L6" s="70">
        <v>0.18</v>
      </c>
      <c r="M6" s="70">
        <v>0.19</v>
      </c>
      <c r="N6" s="70">
        <v>0</v>
      </c>
    </row>
    <row r="7" spans="1:14" x14ac:dyDescent="0.25">
      <c r="B7" t="s">
        <v>230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1</v>
      </c>
    </row>
    <row r="8" spans="1:14" x14ac:dyDescent="0.25">
      <c r="B8" t="s">
        <v>201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1</v>
      </c>
      <c r="N8" s="70">
        <v>0</v>
      </c>
    </row>
    <row r="10" spans="1:14" x14ac:dyDescent="0.25">
      <c r="A10" s="60" t="s">
        <v>89</v>
      </c>
    </row>
    <row r="11" spans="1:14" x14ac:dyDescent="0.25">
      <c r="B11" t="s">
        <v>81</v>
      </c>
      <c r="G11">
        <f>BS!F5</f>
        <v>0</v>
      </c>
      <c r="H11">
        <f ca="1">BS!G5</f>
        <v>34.702338440257108</v>
      </c>
      <c r="I11">
        <f ca="1">BS!H5</f>
        <v>37.381330835176868</v>
      </c>
      <c r="J11">
        <f ca="1">BS!I5</f>
        <v>41.328815389212878</v>
      </c>
      <c r="K11">
        <f ca="1">BS!J5</f>
        <v>31.367808564829943</v>
      </c>
      <c r="L11">
        <f ca="1">BS!K5</f>
        <v>32.479288375295368</v>
      </c>
      <c r="M11">
        <f ca="1">BS!L5</f>
        <v>30.243840761659044</v>
      </c>
      <c r="N11">
        <f ca="1">BS!M5</f>
        <v>162.25756515334422</v>
      </c>
    </row>
    <row r="12" spans="1:14" x14ac:dyDescent="0.25">
      <c r="B12" t="s">
        <v>82</v>
      </c>
      <c r="G12">
        <f ca="1">CFS!G11</f>
        <v>699.32935376102921</v>
      </c>
      <c r="H12">
        <f ca="1">CFS!H11</f>
        <v>855.06144690045062</v>
      </c>
      <c r="I12">
        <f ca="1">CFS!I11</f>
        <v>1020.3118941016751</v>
      </c>
      <c r="J12">
        <f ca="1">CFS!J11</f>
        <v>1045.0907747707065</v>
      </c>
      <c r="K12">
        <f ca="1">CFS!K11</f>
        <v>1072.5092429883794</v>
      </c>
      <c r="L12">
        <f ca="1">CFS!L11</f>
        <v>1103.9193375825701</v>
      </c>
      <c r="M12">
        <f ca="1">CFS!M11</f>
        <v>1144.1358983291534</v>
      </c>
      <c r="N12">
        <f ca="1">CFS!N11</f>
        <v>1183.3241333575124</v>
      </c>
    </row>
    <row r="13" spans="1:14" x14ac:dyDescent="0.25">
      <c r="B13" t="s">
        <v>83</v>
      </c>
      <c r="G13">
        <f>CFS!G14</f>
        <v>-370.8</v>
      </c>
      <c r="H13">
        <f>CFS!H14</f>
        <v>-381.92400000000004</v>
      </c>
      <c r="I13">
        <f>CFS!I14</f>
        <v>-393.38172000000003</v>
      </c>
      <c r="J13">
        <f>CFS!J14</f>
        <v>-405.18317160000004</v>
      </c>
      <c r="K13">
        <f>CFS!K14</f>
        <v>-417.33866674800009</v>
      </c>
      <c r="L13">
        <f>CFS!L14</f>
        <v>-429.85882675044007</v>
      </c>
      <c r="M13">
        <f>CFS!M14</f>
        <v>-442.75459155295323</v>
      </c>
      <c r="N13">
        <f>CFS!N14</f>
        <v>-456.03722929954182</v>
      </c>
    </row>
    <row r="14" spans="1:14" x14ac:dyDescent="0.25">
      <c r="B14" t="s">
        <v>199</v>
      </c>
      <c r="G14">
        <f>CFS!G21</f>
        <v>-77.720000000000084</v>
      </c>
      <c r="H14">
        <f>CFS!H21</f>
        <v>-78.314462000000219</v>
      </c>
      <c r="I14">
        <f>CFS!I21</f>
        <v>-78.996243380000294</v>
      </c>
      <c r="J14">
        <f>CFS!J21</f>
        <v>-79.765184300599714</v>
      </c>
      <c r="K14">
        <f>CFS!K21</f>
        <v>-80.621231304050241</v>
      </c>
      <c r="L14">
        <f>CFS!L21</f>
        <v>-81.5644360586262</v>
      </c>
      <c r="M14">
        <f>CFS!M21</f>
        <v>-82.59495424322202</v>
      </c>
      <c r="N14">
        <f>CFS!N21</f>
        <v>-83.713044569241532</v>
      </c>
    </row>
    <row r="15" spans="1:14" x14ac:dyDescent="0.25">
      <c r="B15" t="s">
        <v>223</v>
      </c>
      <c r="G15">
        <f ca="1">SUM(G11:G14)</f>
        <v>250.80935376102912</v>
      </c>
      <c r="H15">
        <f t="shared" ref="H15:N15" ca="1" si="1">SUM(H11:H14)</f>
        <v>429.52532334070747</v>
      </c>
      <c r="I15">
        <f t="shared" ca="1" si="1"/>
        <v>585.31526155685151</v>
      </c>
      <c r="J15">
        <f t="shared" ca="1" si="1"/>
        <v>601.47123425931966</v>
      </c>
      <c r="K15">
        <f t="shared" ca="1" si="1"/>
        <v>605.91715350115874</v>
      </c>
      <c r="L15">
        <f t="shared" ca="1" si="1"/>
        <v>624.97536314879926</v>
      </c>
      <c r="M15">
        <f t="shared" ca="1" si="1"/>
        <v>649.03019329463734</v>
      </c>
      <c r="N15">
        <f t="shared" ca="1" si="1"/>
        <v>805.83142464207333</v>
      </c>
    </row>
    <row r="17" spans="1:14" x14ac:dyDescent="0.25">
      <c r="A17" s="60" t="s">
        <v>169</v>
      </c>
    </row>
    <row r="18" spans="1:14" x14ac:dyDescent="0.25">
      <c r="B18" s="60" t="s">
        <v>85</v>
      </c>
    </row>
    <row r="19" spans="1:14" x14ac:dyDescent="0.25">
      <c r="B19" t="s">
        <v>227</v>
      </c>
      <c r="G19">
        <f>G34</f>
        <v>-112</v>
      </c>
      <c r="H19">
        <f t="shared" ref="H19:N19" ca="1" si="2">H34</f>
        <v>-280</v>
      </c>
      <c r="I19">
        <f t="shared" ca="1" si="2"/>
        <v>-420</v>
      </c>
      <c r="J19">
        <f t="shared" ca="1" si="2"/>
        <v>-476.00000000000006</v>
      </c>
      <c r="K19">
        <f t="shared" ca="1" si="2"/>
        <v>-476.00000000000006</v>
      </c>
      <c r="L19">
        <f t="shared" ca="1" si="2"/>
        <v>-504</v>
      </c>
      <c r="M19">
        <f t="shared" ca="1" si="2"/>
        <v>0</v>
      </c>
      <c r="N19">
        <f t="shared" ca="1" si="2"/>
        <v>0</v>
      </c>
    </row>
    <row r="20" spans="1:14" x14ac:dyDescent="0.25">
      <c r="B20" t="s">
        <v>228</v>
      </c>
      <c r="G20">
        <f>G43</f>
        <v>0</v>
      </c>
      <c r="H20">
        <f t="shared" ref="H20:N20" ca="1" si="3">H43</f>
        <v>0</v>
      </c>
      <c r="I20">
        <f t="shared" ca="1" si="3"/>
        <v>0</v>
      </c>
      <c r="J20">
        <f t="shared" ca="1" si="3"/>
        <v>0</v>
      </c>
      <c r="K20">
        <f t="shared" ca="1" si="3"/>
        <v>0</v>
      </c>
      <c r="L20">
        <f t="shared" ca="1" si="3"/>
        <v>0</v>
      </c>
      <c r="M20">
        <f t="shared" ca="1" si="3"/>
        <v>0</v>
      </c>
      <c r="N20">
        <f t="shared" ca="1" si="3"/>
        <v>-222.71710589905058</v>
      </c>
    </row>
    <row r="21" spans="1:14" x14ac:dyDescent="0.25">
      <c r="B21" t="s">
        <v>205</v>
      </c>
      <c r="G21" s="30">
        <f>G52</f>
        <v>0</v>
      </c>
      <c r="H21" s="30">
        <f t="shared" ref="H21:N21" ca="1" si="4">H52</f>
        <v>0</v>
      </c>
      <c r="I21" s="30">
        <f t="shared" ca="1" si="4"/>
        <v>0</v>
      </c>
      <c r="J21" s="30">
        <f t="shared" ca="1" si="4"/>
        <v>0</v>
      </c>
      <c r="K21" s="30">
        <f t="shared" ca="1" si="4"/>
        <v>0</v>
      </c>
      <c r="L21" s="30">
        <f t="shared" ca="1" si="4"/>
        <v>0</v>
      </c>
      <c r="M21" s="30">
        <f t="shared" ca="1" si="4"/>
        <v>0</v>
      </c>
      <c r="N21" s="30">
        <f t="shared" ca="1" si="4"/>
        <v>0</v>
      </c>
    </row>
    <row r="22" spans="1:14" x14ac:dyDescent="0.25">
      <c r="B22" t="s">
        <v>224</v>
      </c>
      <c r="G22">
        <f ca="1">SUM(G15,G19:G21)</f>
        <v>138.80935376102912</v>
      </c>
      <c r="H22">
        <f t="shared" ref="H22:N22" ca="1" si="5">SUM(H15,H19:H21)</f>
        <v>149.52532334070747</v>
      </c>
      <c r="I22">
        <f t="shared" ca="1" si="5"/>
        <v>165.31526155685151</v>
      </c>
      <c r="J22">
        <f t="shared" ca="1" si="5"/>
        <v>125.4712342593196</v>
      </c>
      <c r="K22">
        <f t="shared" ca="1" si="5"/>
        <v>129.91715350115868</v>
      </c>
      <c r="L22">
        <f t="shared" ca="1" si="5"/>
        <v>120.97536314879926</v>
      </c>
      <c r="M22">
        <f t="shared" ca="1" si="5"/>
        <v>649.03019329463734</v>
      </c>
      <c r="N22">
        <f t="shared" ca="1" si="5"/>
        <v>583.11431874302275</v>
      </c>
    </row>
    <row r="24" spans="1:14" x14ac:dyDescent="0.25">
      <c r="B24" s="60" t="s">
        <v>193</v>
      </c>
    </row>
    <row r="25" spans="1:14" x14ac:dyDescent="0.25">
      <c r="B25" t="s">
        <v>26</v>
      </c>
      <c r="G25">
        <f>F27</f>
        <v>0</v>
      </c>
      <c r="H25">
        <f t="shared" ref="H25:N25" ca="1" si="6">G27</f>
        <v>0</v>
      </c>
      <c r="I25">
        <f t="shared" ca="1" si="6"/>
        <v>0</v>
      </c>
      <c r="J25">
        <f t="shared" ca="1" si="6"/>
        <v>0</v>
      </c>
      <c r="K25">
        <f t="shared" ca="1" si="6"/>
        <v>0</v>
      </c>
      <c r="L25">
        <f t="shared" ca="1" si="6"/>
        <v>0</v>
      </c>
      <c r="M25">
        <f t="shared" ca="1" si="6"/>
        <v>0</v>
      </c>
      <c r="N25">
        <f t="shared" ca="1" si="6"/>
        <v>0</v>
      </c>
    </row>
    <row r="26" spans="1:14" x14ac:dyDescent="0.25">
      <c r="B26" t="s">
        <v>91</v>
      </c>
      <c r="G26">
        <f ca="1">-MIN(G25,G22)</f>
        <v>0</v>
      </c>
      <c r="H26">
        <f t="shared" ref="H26:N26" ca="1" si="7">-MIN(H25,H22)</f>
        <v>0</v>
      </c>
      <c r="I26">
        <f t="shared" ca="1" si="7"/>
        <v>0</v>
      </c>
      <c r="J26">
        <f t="shared" ca="1" si="7"/>
        <v>0</v>
      </c>
      <c r="K26">
        <f t="shared" ca="1" si="7"/>
        <v>0</v>
      </c>
      <c r="L26">
        <f t="shared" ca="1" si="7"/>
        <v>0</v>
      </c>
      <c r="M26">
        <f t="shared" ca="1" si="7"/>
        <v>0</v>
      </c>
      <c r="N26">
        <f t="shared" ca="1" si="7"/>
        <v>0</v>
      </c>
    </row>
    <row r="27" spans="1:14" x14ac:dyDescent="0.25">
      <c r="B27" t="s">
        <v>27</v>
      </c>
      <c r="F27">
        <f>BS!F18</f>
        <v>0</v>
      </c>
      <c r="G27">
        <f ca="1">SUM(G25:G26)</f>
        <v>0</v>
      </c>
      <c r="H27">
        <f t="shared" ref="H27:N27" ca="1" si="8">SUM(H25:H26)</f>
        <v>0</v>
      </c>
      <c r="I27">
        <f t="shared" ca="1" si="8"/>
        <v>0</v>
      </c>
      <c r="J27">
        <f t="shared" ca="1" si="8"/>
        <v>0</v>
      </c>
      <c r="K27">
        <f t="shared" ca="1" si="8"/>
        <v>0</v>
      </c>
      <c r="L27">
        <f t="shared" ca="1" si="8"/>
        <v>0</v>
      </c>
      <c r="M27">
        <f t="shared" ca="1" si="8"/>
        <v>0</v>
      </c>
      <c r="N27">
        <f t="shared" ca="1" si="8"/>
        <v>0</v>
      </c>
    </row>
    <row r="28" spans="1:14" x14ac:dyDescent="0.25">
      <c r="B28" t="s">
        <v>35</v>
      </c>
      <c r="G28">
        <f ca="1">-LBO!$H$55*AVERAGE(Debt!F27:G27)</f>
        <v>0</v>
      </c>
      <c r="H28">
        <f ca="1">-LBO!$H$55*AVERAGE(Debt!G27:H27)</f>
        <v>0</v>
      </c>
      <c r="I28">
        <f ca="1">-LBO!$H$55*AVERAGE(Debt!H27:I27)</f>
        <v>0</v>
      </c>
      <c r="J28">
        <f ca="1">-LBO!$H$55*AVERAGE(Debt!I27:J27)</f>
        <v>0</v>
      </c>
      <c r="K28">
        <f ca="1">-LBO!$H$55*AVERAGE(Debt!J27:K27)</f>
        <v>0</v>
      </c>
      <c r="L28">
        <f ca="1">-LBO!$H$55*AVERAGE(Debt!K27:L27)</f>
        <v>0</v>
      </c>
      <c r="M28">
        <f ca="1">-LBO!$H$55*AVERAGE(Debt!L27:M27)</f>
        <v>0</v>
      </c>
      <c r="N28">
        <f ca="1">-LBO!$H$55*AVERAGE(Debt!M27:N27)</f>
        <v>0</v>
      </c>
    </row>
    <row r="30" spans="1:14" x14ac:dyDescent="0.25">
      <c r="B30" t="s">
        <v>225</v>
      </c>
      <c r="G30">
        <f ca="1">(G22+G26)*LBO!$F$22</f>
        <v>104.10701532077184</v>
      </c>
      <c r="H30">
        <f ca="1">(H22+H26)*LBO!$F$22</f>
        <v>112.1439925055306</v>
      </c>
      <c r="I30">
        <f ca="1">(I22+I26)*LBO!$F$22</f>
        <v>123.98644616763863</v>
      </c>
      <c r="J30">
        <f ca="1">(J22+J26)*LBO!$F$22</f>
        <v>94.103425694489701</v>
      </c>
      <c r="K30">
        <f ca="1">(K22+K26)*LBO!$F$22</f>
        <v>97.43786512586901</v>
      </c>
      <c r="L30">
        <f ca="1">(L22+L26)*LBO!$F$22</f>
        <v>90.731522361599446</v>
      </c>
      <c r="M30">
        <f ca="1">(M22+M26)*LBO!$F$22</f>
        <v>486.77264497097804</v>
      </c>
      <c r="N30">
        <f ca="1">(N22+N26)*LBO!$F$22</f>
        <v>437.33573905726706</v>
      </c>
    </row>
    <row r="32" spans="1:14" x14ac:dyDescent="0.25">
      <c r="B32" s="60" t="s">
        <v>227</v>
      </c>
    </row>
    <row r="33" spans="2:14" x14ac:dyDescent="0.25">
      <c r="B33" t="s">
        <v>86</v>
      </c>
      <c r="G33">
        <f>F36</f>
        <v>2800</v>
      </c>
      <c r="H33">
        <f t="shared" ref="H33:N33" ca="1" si="9">G36</f>
        <v>2583.892984679228</v>
      </c>
      <c r="I33">
        <f t="shared" ca="1" si="9"/>
        <v>2191.7489921736974</v>
      </c>
      <c r="J33">
        <f t="shared" ca="1" si="9"/>
        <v>1647.7625460060588</v>
      </c>
      <c r="K33">
        <f t="shared" ca="1" si="9"/>
        <v>1077.659120311569</v>
      </c>
      <c r="L33">
        <f t="shared" ca="1" si="9"/>
        <v>504.22125518570004</v>
      </c>
      <c r="M33">
        <f t="shared" ca="1" si="9"/>
        <v>0</v>
      </c>
      <c r="N33">
        <f t="shared" ca="1" si="9"/>
        <v>0</v>
      </c>
    </row>
    <row r="34" spans="2:14" x14ac:dyDescent="0.25">
      <c r="B34" t="s">
        <v>84</v>
      </c>
      <c r="G34">
        <f t="shared" ref="G34" si="10">-MIN($F$36*G6,G33)</f>
        <v>-112</v>
      </c>
      <c r="H34">
        <f t="shared" ref="H34:N34" ca="1" si="11">-MIN($F$36*H6,H33)</f>
        <v>-280</v>
      </c>
      <c r="I34">
        <f t="shared" ca="1" si="11"/>
        <v>-420</v>
      </c>
      <c r="J34">
        <f t="shared" ca="1" si="11"/>
        <v>-476.00000000000006</v>
      </c>
      <c r="K34">
        <f t="shared" ca="1" si="11"/>
        <v>-476.00000000000006</v>
      </c>
      <c r="L34">
        <f t="shared" ca="1" si="11"/>
        <v>-504</v>
      </c>
      <c r="M34">
        <f t="shared" ca="1" si="11"/>
        <v>0</v>
      </c>
      <c r="N34">
        <f t="shared" ca="1" si="11"/>
        <v>0</v>
      </c>
    </row>
    <row r="35" spans="2:14" x14ac:dyDescent="0.25">
      <c r="B35" t="s">
        <v>87</v>
      </c>
      <c r="D35" t="s">
        <v>202</v>
      </c>
      <c r="E35" s="66">
        <v>1</v>
      </c>
      <c r="G35">
        <f ca="1">-MIN(G33+G34,G30)*$E$35</f>
        <v>-104.10701532077184</v>
      </c>
      <c r="H35">
        <f t="shared" ref="H35:N35" ca="1" si="12">-MIN(H33+H34,H30)*$E$35</f>
        <v>-112.1439925055306</v>
      </c>
      <c r="I35">
        <f t="shared" ca="1" si="12"/>
        <v>-123.98644616763863</v>
      </c>
      <c r="J35">
        <f t="shared" ca="1" si="12"/>
        <v>-94.103425694489701</v>
      </c>
      <c r="K35">
        <f t="shared" ca="1" si="12"/>
        <v>-97.43786512586901</v>
      </c>
      <c r="L35">
        <f t="shared" ca="1" si="12"/>
        <v>-0.22125518570004488</v>
      </c>
      <c r="M35">
        <f t="shared" ca="1" si="12"/>
        <v>0</v>
      </c>
      <c r="N35">
        <f t="shared" ca="1" si="12"/>
        <v>0</v>
      </c>
    </row>
    <row r="36" spans="2:14" x14ac:dyDescent="0.25">
      <c r="B36" t="s">
        <v>88</v>
      </c>
      <c r="F36">
        <f>BS!F25</f>
        <v>2800</v>
      </c>
      <c r="G36">
        <f ca="1">SUM(G33:G35)</f>
        <v>2583.892984679228</v>
      </c>
      <c r="H36">
        <f t="shared" ref="H36:N36" ca="1" si="13">SUM(H33:H35)</f>
        <v>2191.7489921736974</v>
      </c>
      <c r="I36">
        <f t="shared" ca="1" si="13"/>
        <v>1647.7625460060588</v>
      </c>
      <c r="J36">
        <f t="shared" ca="1" si="13"/>
        <v>1077.659120311569</v>
      </c>
      <c r="K36">
        <f t="shared" ca="1" si="13"/>
        <v>504.22125518570004</v>
      </c>
      <c r="L36">
        <f t="shared" ca="1" si="13"/>
        <v>0</v>
      </c>
      <c r="M36">
        <f t="shared" ca="1" si="13"/>
        <v>0</v>
      </c>
      <c r="N36">
        <f t="shared" ca="1" si="13"/>
        <v>0</v>
      </c>
    </row>
    <row r="37" spans="2:14" x14ac:dyDescent="0.25">
      <c r="B37" t="s">
        <v>35</v>
      </c>
      <c r="G37">
        <f ca="1">-LBO!$H$56*AVERAGE(Debt!F36:G36)</f>
        <v>-109.02383293975437</v>
      </c>
      <c r="H37">
        <f ca="1">-LBO!$H$56*AVERAGE(Debt!G36:H36)</f>
        <v>-96.706750031271739</v>
      </c>
      <c r="I37">
        <f ca="1">-LBO!$H$56*AVERAGE(Debt!H36:I36)</f>
        <v>-77.750108648140056</v>
      </c>
      <c r="J37">
        <f ca="1">-LBO!$H$56*AVERAGE(Debt!I36:J36)</f>
        <v>-55.18978874293196</v>
      </c>
      <c r="K37">
        <f ca="1">-LBO!$H$56*AVERAGE(Debt!J36:K36)</f>
        <v>-32.033077603819699</v>
      </c>
      <c r="L37">
        <f ca="1">-LBO!$H$56*AVERAGE(Debt!K36:L36)</f>
        <v>-10.210480417510427</v>
      </c>
      <c r="M37">
        <f ca="1">-LBO!$H$56*AVERAGE(Debt!L36:M36)</f>
        <v>0</v>
      </c>
      <c r="N37">
        <f ca="1">-LBO!$H$56*AVERAGE(Debt!M36:N36)</f>
        <v>0</v>
      </c>
    </row>
    <row r="38" spans="2:14" x14ac:dyDescent="0.25">
      <c r="G38" s="58"/>
      <c r="H38" s="58"/>
      <c r="I38" s="58"/>
      <c r="J38" s="58"/>
      <c r="K38" s="58"/>
      <c r="L38" s="58"/>
      <c r="M38" s="58"/>
      <c r="N38" s="58"/>
    </row>
    <row r="39" spans="2:14" x14ac:dyDescent="0.25">
      <c r="B39" t="s">
        <v>225</v>
      </c>
      <c r="G39">
        <f ca="1">G30+G35</f>
        <v>0</v>
      </c>
      <c r="H39">
        <f t="shared" ref="H39:N39" ca="1" si="14">H30+H35</f>
        <v>0</v>
      </c>
      <c r="I39">
        <f t="shared" ca="1" si="14"/>
        <v>0</v>
      </c>
      <c r="J39">
        <f t="shared" ca="1" si="14"/>
        <v>0</v>
      </c>
      <c r="K39">
        <f t="shared" ca="1" si="14"/>
        <v>0</v>
      </c>
      <c r="L39">
        <f t="shared" ca="1" si="14"/>
        <v>90.510267175899401</v>
      </c>
      <c r="M39">
        <f t="shared" ca="1" si="14"/>
        <v>486.77264497097804</v>
      </c>
      <c r="N39">
        <f t="shared" ca="1" si="14"/>
        <v>437.33573905726706</v>
      </c>
    </row>
    <row r="41" spans="2:14" x14ac:dyDescent="0.25">
      <c r="B41" s="60" t="s">
        <v>228</v>
      </c>
    </row>
    <row r="42" spans="2:14" x14ac:dyDescent="0.25">
      <c r="B42" t="s">
        <v>86</v>
      </c>
      <c r="G42">
        <f>F45</f>
        <v>800</v>
      </c>
      <c r="H42">
        <f t="shared" ref="H42:N42" ca="1" si="15">G45</f>
        <v>800</v>
      </c>
      <c r="I42">
        <f t="shared" ca="1" si="15"/>
        <v>800</v>
      </c>
      <c r="J42">
        <f t="shared" ca="1" si="15"/>
        <v>800</v>
      </c>
      <c r="K42">
        <f t="shared" ca="1" si="15"/>
        <v>800</v>
      </c>
      <c r="L42">
        <f t="shared" ca="1" si="15"/>
        <v>800</v>
      </c>
      <c r="M42">
        <f t="shared" ca="1" si="15"/>
        <v>709.48973282329098</v>
      </c>
      <c r="N42">
        <f t="shared" ca="1" si="15"/>
        <v>222.71708875864942</v>
      </c>
    </row>
    <row r="43" spans="2:14" x14ac:dyDescent="0.25">
      <c r="B43" t="s">
        <v>84</v>
      </c>
      <c r="G43">
        <f t="shared" ref="G43" si="16">-MIN($F$45*G7,G42)</f>
        <v>0</v>
      </c>
      <c r="H43">
        <f t="shared" ref="H43:N43" ca="1" si="17">-MIN($F$45*H7,H42)</f>
        <v>0</v>
      </c>
      <c r="I43">
        <f t="shared" ca="1" si="17"/>
        <v>0</v>
      </c>
      <c r="J43">
        <f t="shared" ca="1" si="17"/>
        <v>0</v>
      </c>
      <c r="K43">
        <f t="shared" ca="1" si="17"/>
        <v>0</v>
      </c>
      <c r="L43">
        <f t="shared" ca="1" si="17"/>
        <v>0</v>
      </c>
      <c r="M43">
        <f t="shared" ca="1" si="17"/>
        <v>0</v>
      </c>
      <c r="N43">
        <f t="shared" ca="1" si="17"/>
        <v>-222.71708875864942</v>
      </c>
    </row>
    <row r="44" spans="2:14" x14ac:dyDescent="0.25">
      <c r="B44" t="s">
        <v>87</v>
      </c>
      <c r="D44" t="s">
        <v>202</v>
      </c>
      <c r="E44" s="66">
        <v>1</v>
      </c>
      <c r="G44">
        <f ca="1">-MIN(G42+G43,G39)*$E$44</f>
        <v>0</v>
      </c>
      <c r="H44">
        <f t="shared" ref="H44:N44" ca="1" si="18">-MIN(H42+H43,H39)*$E$44</f>
        <v>0</v>
      </c>
      <c r="I44">
        <f t="shared" ca="1" si="18"/>
        <v>0</v>
      </c>
      <c r="J44">
        <f t="shared" ca="1" si="18"/>
        <v>0</v>
      </c>
      <c r="K44">
        <f t="shared" ca="1" si="18"/>
        <v>0</v>
      </c>
      <c r="L44">
        <f t="shared" ca="1" si="18"/>
        <v>-90.510267175899401</v>
      </c>
      <c r="M44">
        <f t="shared" ca="1" si="18"/>
        <v>-486.77264497097804</v>
      </c>
      <c r="N44">
        <f t="shared" ca="1" si="18"/>
        <v>0</v>
      </c>
    </row>
    <row r="45" spans="2:14" x14ac:dyDescent="0.25">
      <c r="B45" t="s">
        <v>88</v>
      </c>
      <c r="F45">
        <f>BS!F26</f>
        <v>800</v>
      </c>
      <c r="G45">
        <f ca="1">SUM(G42:G44)</f>
        <v>800</v>
      </c>
      <c r="H45">
        <f t="shared" ref="H45:N45" ca="1" si="19">SUM(H42:H44)</f>
        <v>800</v>
      </c>
      <c r="I45">
        <f t="shared" ca="1" si="19"/>
        <v>800</v>
      </c>
      <c r="J45">
        <f t="shared" ca="1" si="19"/>
        <v>800</v>
      </c>
      <c r="K45">
        <f t="shared" ca="1" si="19"/>
        <v>800</v>
      </c>
      <c r="L45">
        <f t="shared" ca="1" si="19"/>
        <v>709.48973282410066</v>
      </c>
      <c r="M45">
        <f t="shared" ca="1" si="19"/>
        <v>222.71708785231294</v>
      </c>
      <c r="N45">
        <f t="shared" ca="1" si="19"/>
        <v>0</v>
      </c>
    </row>
    <row r="46" spans="2:14" x14ac:dyDescent="0.25">
      <c r="B46" t="s">
        <v>35</v>
      </c>
      <c r="G46">
        <f ca="1">-LBO!$H$57*AVERAGE(Debt!F45:G45)</f>
        <v>-64.400000000000006</v>
      </c>
      <c r="H46">
        <f ca="1">-LBO!$H$57*AVERAGE(Debt!G45:H45)</f>
        <v>-64.400000000000006</v>
      </c>
      <c r="I46">
        <f ca="1">-LBO!$H$57*AVERAGE(Debt!H45:I45)</f>
        <v>-64.400000000000006</v>
      </c>
      <c r="J46">
        <f ca="1">-LBO!$H$57*AVERAGE(Debt!I45:J45)</f>
        <v>-64.400000000000006</v>
      </c>
      <c r="K46">
        <f ca="1">-LBO!$H$57*AVERAGE(Debt!J45:K45)</f>
        <v>-64.400000000000006</v>
      </c>
      <c r="L46">
        <f ca="1">-LBO!$H$57*AVERAGE(Debt!K45:L45)</f>
        <v>-60.756961746170056</v>
      </c>
      <c r="M46">
        <f ca="1">-LBO!$H$57*AVERAGE(Debt!L45:M45)</f>
        <v>-37.521324532225648</v>
      </c>
      <c r="N46">
        <f ca="1">-LBO!$H$57*AVERAGE(Debt!M45:N45)</f>
        <v>-8.964362786055597</v>
      </c>
    </row>
    <row r="48" spans="2:14" x14ac:dyDescent="0.25">
      <c r="B48" t="s">
        <v>225</v>
      </c>
      <c r="G48">
        <f ca="1">G39+G44</f>
        <v>0</v>
      </c>
      <c r="H48">
        <f t="shared" ref="H48:N48" ca="1" si="20">H39+H44</f>
        <v>0</v>
      </c>
      <c r="I48">
        <f t="shared" ca="1" si="20"/>
        <v>0</v>
      </c>
      <c r="J48">
        <f t="shared" ca="1" si="20"/>
        <v>0</v>
      </c>
      <c r="K48">
        <f t="shared" ca="1" si="20"/>
        <v>0</v>
      </c>
      <c r="L48">
        <f t="shared" ca="1" si="20"/>
        <v>0</v>
      </c>
      <c r="M48">
        <f t="shared" ca="1" si="20"/>
        <v>0</v>
      </c>
      <c r="N48">
        <f t="shared" ca="1" si="20"/>
        <v>437.33573905726706</v>
      </c>
    </row>
    <row r="50" spans="2:14" x14ac:dyDescent="0.25">
      <c r="B50" s="60" t="s">
        <v>187</v>
      </c>
    </row>
    <row r="51" spans="2:14" x14ac:dyDescent="0.25">
      <c r="B51" t="s">
        <v>86</v>
      </c>
      <c r="G51">
        <f>F54</f>
        <v>0</v>
      </c>
      <c r="H51">
        <f t="shared" ref="H51:N51" ca="1" si="21">G54</f>
        <v>0</v>
      </c>
      <c r="I51">
        <f t="shared" ca="1" si="21"/>
        <v>0</v>
      </c>
      <c r="J51">
        <f t="shared" ca="1" si="21"/>
        <v>0</v>
      </c>
      <c r="K51">
        <f t="shared" ca="1" si="21"/>
        <v>0</v>
      </c>
      <c r="L51">
        <f t="shared" ca="1" si="21"/>
        <v>0</v>
      </c>
      <c r="M51">
        <f t="shared" ca="1" si="21"/>
        <v>0</v>
      </c>
      <c r="N51">
        <f t="shared" ca="1" si="21"/>
        <v>0</v>
      </c>
    </row>
    <row r="52" spans="2:14" x14ac:dyDescent="0.25">
      <c r="B52" t="s">
        <v>84</v>
      </c>
      <c r="G52">
        <f>MIN(G51,G8*$F$54)*-1</f>
        <v>0</v>
      </c>
      <c r="H52">
        <f t="shared" ref="H52:N52" ca="1" si="22">MIN(H51,H8*$F$54)*-1</f>
        <v>0</v>
      </c>
      <c r="I52">
        <f t="shared" ca="1" si="22"/>
        <v>0</v>
      </c>
      <c r="J52">
        <f t="shared" ca="1" si="22"/>
        <v>0</v>
      </c>
      <c r="K52">
        <f t="shared" ca="1" si="22"/>
        <v>0</v>
      </c>
      <c r="L52">
        <f t="shared" ca="1" si="22"/>
        <v>0</v>
      </c>
      <c r="M52">
        <f t="shared" ca="1" si="22"/>
        <v>0</v>
      </c>
      <c r="N52">
        <f t="shared" ca="1" si="22"/>
        <v>0</v>
      </c>
    </row>
    <row r="53" spans="2:14" x14ac:dyDescent="0.25">
      <c r="B53" t="s">
        <v>87</v>
      </c>
      <c r="D53" t="s">
        <v>202</v>
      </c>
      <c r="E53" s="66">
        <v>0</v>
      </c>
      <c r="G53">
        <f ca="1">MIN(G51+G52,G48)*-1*$E$53</f>
        <v>0</v>
      </c>
      <c r="H53">
        <f t="shared" ref="H53:N53" ca="1" si="23">MIN(H51+H52,H48)*-1*$E$53</f>
        <v>0</v>
      </c>
      <c r="I53">
        <f t="shared" ca="1" si="23"/>
        <v>0</v>
      </c>
      <c r="J53">
        <f t="shared" ca="1" si="23"/>
        <v>0</v>
      </c>
      <c r="K53">
        <f t="shared" ca="1" si="23"/>
        <v>0</v>
      </c>
      <c r="L53">
        <f t="shared" ca="1" si="23"/>
        <v>0</v>
      </c>
      <c r="M53">
        <f t="shared" ca="1" si="23"/>
        <v>0</v>
      </c>
      <c r="N53">
        <f t="shared" ca="1" si="23"/>
        <v>0</v>
      </c>
    </row>
    <row r="54" spans="2:14" x14ac:dyDescent="0.25">
      <c r="B54" t="s">
        <v>88</v>
      </c>
      <c r="F54">
        <f>BS!F27</f>
        <v>0</v>
      </c>
      <c r="G54">
        <f ca="1">SUM(G51:G53)</f>
        <v>0</v>
      </c>
      <c r="H54">
        <f t="shared" ref="H54:N54" ca="1" si="24">SUM(H51:H53)</f>
        <v>0</v>
      </c>
      <c r="I54">
        <f t="shared" ca="1" si="24"/>
        <v>0</v>
      </c>
      <c r="J54">
        <f t="shared" ca="1" si="24"/>
        <v>0</v>
      </c>
      <c r="K54">
        <f t="shared" ca="1" si="24"/>
        <v>0</v>
      </c>
      <c r="L54">
        <f t="shared" ca="1" si="24"/>
        <v>0</v>
      </c>
      <c r="M54">
        <f t="shared" ca="1" si="24"/>
        <v>0</v>
      </c>
      <c r="N54">
        <f t="shared" ca="1" si="24"/>
        <v>0</v>
      </c>
    </row>
    <row r="55" spans="2:14" x14ac:dyDescent="0.25">
      <c r="B55" t="s">
        <v>35</v>
      </c>
      <c r="G55">
        <f ca="1">-LBO!$H$58*AVERAGE(Debt!F54:G54)</f>
        <v>0</v>
      </c>
      <c r="H55">
        <f ca="1">-LBO!$H$58*AVERAGE(Debt!G54:H54)</f>
        <v>0</v>
      </c>
      <c r="I55">
        <f ca="1">-LBO!$H$58*AVERAGE(Debt!H54:I54)</f>
        <v>0</v>
      </c>
      <c r="J55">
        <f ca="1">-LBO!$H$58*AVERAGE(Debt!I54:J54)</f>
        <v>0</v>
      </c>
      <c r="K55">
        <f ca="1">-LBO!$H$58*AVERAGE(Debt!J54:K54)</f>
        <v>0</v>
      </c>
      <c r="L55">
        <f ca="1">-LBO!$H$58*AVERAGE(Debt!K54:L54)</f>
        <v>0</v>
      </c>
      <c r="M55">
        <f ca="1">-LBO!$H$58*AVERAGE(Debt!L54:M54)</f>
        <v>0</v>
      </c>
      <c r="N55">
        <f ca="1">-LBO!$H$58*AVERAGE(Debt!M54:N54)</f>
        <v>0</v>
      </c>
    </row>
    <row r="57" spans="2:14" x14ac:dyDescent="0.25">
      <c r="B57" s="88" t="s">
        <v>74</v>
      </c>
    </row>
    <row r="58" spans="2:14" x14ac:dyDescent="0.25">
      <c r="B58" t="s">
        <v>86</v>
      </c>
      <c r="C58" s="79"/>
      <c r="D58" s="79"/>
      <c r="E58" s="79"/>
      <c r="F58" s="79"/>
      <c r="G58">
        <f>F60</f>
        <v>1000</v>
      </c>
      <c r="H58">
        <f t="shared" ref="H58:N58" si="25">G60</f>
        <v>1130</v>
      </c>
      <c r="I58">
        <f t="shared" si="25"/>
        <v>1276.9000000000001</v>
      </c>
      <c r="J58">
        <f t="shared" si="25"/>
        <v>1442.8970000000002</v>
      </c>
      <c r="K58">
        <f t="shared" si="25"/>
        <v>1630.4736100000002</v>
      </c>
      <c r="L58">
        <f t="shared" si="25"/>
        <v>1842.4351793000003</v>
      </c>
      <c r="M58">
        <f t="shared" si="25"/>
        <v>2081.9517526090003</v>
      </c>
      <c r="N58">
        <f t="shared" si="25"/>
        <v>2352.6054804481705</v>
      </c>
    </row>
    <row r="59" spans="2:14" x14ac:dyDescent="0.25">
      <c r="B59" t="s">
        <v>148</v>
      </c>
      <c r="G59">
        <f>LBO!$H$59*Debt!G58</f>
        <v>130</v>
      </c>
      <c r="H59">
        <f>LBO!$H$59*Debt!H58</f>
        <v>146.9</v>
      </c>
      <c r="I59">
        <f>LBO!$H$59*Debt!I58</f>
        <v>165.99700000000001</v>
      </c>
      <c r="J59">
        <f>LBO!$H$59*Debt!J58</f>
        <v>187.57661000000002</v>
      </c>
      <c r="K59">
        <f>LBO!$H$59*Debt!K58</f>
        <v>211.96156930000004</v>
      </c>
      <c r="L59">
        <f>LBO!$H$59*Debt!L58</f>
        <v>239.51657330900005</v>
      </c>
      <c r="M59">
        <f>LBO!$H$59*Debt!M58</f>
        <v>270.65372783917007</v>
      </c>
      <c r="N59">
        <f>LBO!$H$59*Debt!N58</f>
        <v>305.83871245826219</v>
      </c>
    </row>
    <row r="60" spans="2:14" x14ac:dyDescent="0.25">
      <c r="B60" t="s">
        <v>88</v>
      </c>
      <c r="F60">
        <f>BS!F28</f>
        <v>1000</v>
      </c>
      <c r="G60">
        <f>SUM(G58:G59)</f>
        <v>1130</v>
      </c>
      <c r="H60">
        <f t="shared" ref="H60:N60" si="26">SUM(H58:H59)</f>
        <v>1276.9000000000001</v>
      </c>
      <c r="I60">
        <f t="shared" si="26"/>
        <v>1442.8970000000002</v>
      </c>
      <c r="J60">
        <f t="shared" si="26"/>
        <v>1630.4736100000002</v>
      </c>
      <c r="K60">
        <f t="shared" si="26"/>
        <v>1842.4351793000003</v>
      </c>
      <c r="L60">
        <f t="shared" si="26"/>
        <v>2081.9517526090003</v>
      </c>
      <c r="M60">
        <f t="shared" si="26"/>
        <v>2352.6054804481705</v>
      </c>
      <c r="N60">
        <f t="shared" si="26"/>
        <v>2658.4441929064328</v>
      </c>
    </row>
    <row r="62" spans="2:14" x14ac:dyDescent="0.25">
      <c r="B62" s="60" t="s">
        <v>203</v>
      </c>
    </row>
    <row r="63" spans="2:14" x14ac:dyDescent="0.25">
      <c r="B63" t="s">
        <v>203</v>
      </c>
      <c r="F63">
        <f>BS!F24</f>
        <v>1284</v>
      </c>
      <c r="G63">
        <f>Calc!G27</f>
        <v>1298.8615500000001</v>
      </c>
      <c r="H63">
        <f>Calc!H27</f>
        <v>1315.9060844999999</v>
      </c>
      <c r="I63">
        <f>Calc!I27</f>
        <v>1335.1296075149996</v>
      </c>
      <c r="J63">
        <f>Calc!J27</f>
        <v>1356.5307826012499</v>
      </c>
      <c r="K63">
        <f>Calc!K27</f>
        <v>1380.1109014656552</v>
      </c>
      <c r="L63">
        <f>Calc!L27</f>
        <v>1405.8738560805382</v>
      </c>
      <c r="M63">
        <f>Calc!M27</f>
        <v>1433.8261142310307</v>
      </c>
      <c r="N63">
        <f>Calc!N27</f>
        <v>1463.9766984273151</v>
      </c>
    </row>
    <row r="64" spans="2:14" x14ac:dyDescent="0.25">
      <c r="B64" t="s">
        <v>204</v>
      </c>
      <c r="G64">
        <f>Calc!G25*-1</f>
        <v>-44.940000000000005</v>
      </c>
      <c r="H64">
        <f>Calc!H25*-1</f>
        <v>-45.460154250000009</v>
      </c>
      <c r="I64">
        <f>Calc!I25*-1</f>
        <v>-46.056712957500004</v>
      </c>
      <c r="J64">
        <f>Calc!J25*-1</f>
        <v>-46.72953626302499</v>
      </c>
      <c r="K64">
        <f>Calc!K25*-1</f>
        <v>-47.47857739104375</v>
      </c>
      <c r="L64">
        <f>Calc!L25*-1</f>
        <v>-48.303881551297934</v>
      </c>
      <c r="M64">
        <f>Calc!M25*-1</f>
        <v>-49.20558496281884</v>
      </c>
      <c r="N64">
        <f>Calc!N25*-1</f>
        <v>-50.183913998086076</v>
      </c>
    </row>
    <row r="65" spans="1:14" x14ac:dyDescent="0.25">
      <c r="B65" s="60"/>
    </row>
    <row r="66" spans="1:14" x14ac:dyDescent="0.25">
      <c r="B66" s="60" t="s">
        <v>211</v>
      </c>
    </row>
    <row r="67" spans="1:14" x14ac:dyDescent="0.25">
      <c r="B67" t="s">
        <v>92</v>
      </c>
      <c r="G67">
        <f ca="1">SUM(G28,G37,G46,G55,G59*-1,G64)</f>
        <v>-348.36383293975439</v>
      </c>
      <c r="H67">
        <f t="shared" ref="H67:N67" ca="1" si="27">SUM(H28,H37,H46,H55,H59*-1,H64)</f>
        <v>-353.46690428127175</v>
      </c>
      <c r="I67">
        <f t="shared" ca="1" si="27"/>
        <v>-354.20382160564009</v>
      </c>
      <c r="J67">
        <f t="shared" ca="1" si="27"/>
        <v>-353.89593500595697</v>
      </c>
      <c r="K67">
        <f t="shared" ca="1" si="27"/>
        <v>-355.87322429486352</v>
      </c>
      <c r="L67">
        <f t="shared" ca="1" si="27"/>
        <v>-358.78789702397847</v>
      </c>
      <c r="M67">
        <f t="shared" ca="1" si="27"/>
        <v>-357.38063733421455</v>
      </c>
      <c r="N67">
        <f t="shared" ca="1" si="27"/>
        <v>-364.98698924240387</v>
      </c>
    </row>
    <row r="68" spans="1:14" x14ac:dyDescent="0.25">
      <c r="B68" t="s">
        <v>210</v>
      </c>
      <c r="G68">
        <f ca="1">SUM(G28,G37,G46,G55,G64)</f>
        <v>-218.36383293975439</v>
      </c>
      <c r="H68">
        <f t="shared" ref="H68:N68" ca="1" si="28">SUM(H28,H37,H46,H55,H64)</f>
        <v>-206.56690428127177</v>
      </c>
      <c r="I68">
        <f t="shared" ca="1" si="28"/>
        <v>-188.20682160564007</v>
      </c>
      <c r="J68">
        <f t="shared" ca="1" si="28"/>
        <v>-166.31932500595696</v>
      </c>
      <c r="K68">
        <f t="shared" ca="1" si="28"/>
        <v>-143.91165499486345</v>
      </c>
      <c r="L68">
        <f t="shared" ca="1" si="28"/>
        <v>-119.27132371497842</v>
      </c>
      <c r="M68">
        <f t="shared" ca="1" si="28"/>
        <v>-86.726909495044481</v>
      </c>
      <c r="N68">
        <f t="shared" ca="1" si="28"/>
        <v>-59.148276784141672</v>
      </c>
    </row>
    <row r="70" spans="1:14" x14ac:dyDescent="0.25">
      <c r="B70" s="60" t="s">
        <v>212</v>
      </c>
    </row>
    <row r="71" spans="1:14" x14ac:dyDescent="0.25">
      <c r="B71" t="s">
        <v>213</v>
      </c>
      <c r="G71">
        <f>F73</f>
        <v>0</v>
      </c>
      <c r="H71">
        <f t="shared" ref="H71:N71" ca="1" si="29">G73</f>
        <v>34.702338440257279</v>
      </c>
      <c r="I71">
        <f t="shared" ca="1" si="29"/>
        <v>37.381330835177039</v>
      </c>
      <c r="J71">
        <f t="shared" ca="1" si="29"/>
        <v>41.328815389213048</v>
      </c>
      <c r="K71">
        <f t="shared" ca="1" si="29"/>
        <v>31.367808564830071</v>
      </c>
      <c r="L71">
        <f t="shared" ca="1" si="29"/>
        <v>32.479288375289912</v>
      </c>
      <c r="M71">
        <f t="shared" ca="1" si="29"/>
        <v>30.243840787217664</v>
      </c>
      <c r="N71">
        <f t="shared" ca="1" si="29"/>
        <v>162.25754874301549</v>
      </c>
    </row>
    <row r="72" spans="1:14" x14ac:dyDescent="0.25">
      <c r="B72" t="s">
        <v>214</v>
      </c>
      <c r="G72">
        <f ca="1">SUM(G12:G14,G19:G21,G26,G35,G44,G53)</f>
        <v>34.702338440257279</v>
      </c>
      <c r="H72">
        <f t="shared" ref="H72:N72" ca="1" si="30">SUM(H12:H14,H19:H21,H26,H35,H44,H53)</f>
        <v>2.67899239491976</v>
      </c>
      <c r="I72">
        <f t="shared" ca="1" si="30"/>
        <v>3.9474845540360093</v>
      </c>
      <c r="J72">
        <f t="shared" ca="1" si="30"/>
        <v>-9.9610068243829772</v>
      </c>
      <c r="K72">
        <f t="shared" ca="1" si="30"/>
        <v>1.1114798104598407</v>
      </c>
      <c r="L72">
        <f t="shared" ca="1" si="30"/>
        <v>-2.235447588095667</v>
      </c>
      <c r="M72">
        <f t="shared" ca="1" si="30"/>
        <v>132.01370756200015</v>
      </c>
      <c r="N72">
        <f t="shared" ca="1" si="30"/>
        <v>420.85675358967842</v>
      </c>
    </row>
    <row r="73" spans="1:14" x14ac:dyDescent="0.25">
      <c r="B73" t="s">
        <v>212</v>
      </c>
      <c r="F73">
        <f>BS!F5</f>
        <v>0</v>
      </c>
      <c r="G73">
        <f ca="1">SUM(G71:G72)</f>
        <v>34.702338440257279</v>
      </c>
      <c r="H73">
        <f t="shared" ref="H73:N73" ca="1" si="31">SUM(H71:H72)</f>
        <v>37.381330835177039</v>
      </c>
      <c r="I73">
        <f t="shared" ca="1" si="31"/>
        <v>41.328815389213048</v>
      </c>
      <c r="J73">
        <f t="shared" ca="1" si="31"/>
        <v>31.367808564830071</v>
      </c>
      <c r="K73">
        <f t="shared" ca="1" si="31"/>
        <v>32.479288375289912</v>
      </c>
      <c r="L73">
        <f t="shared" ca="1" si="31"/>
        <v>30.243840787194245</v>
      </c>
      <c r="M73">
        <f t="shared" ca="1" si="31"/>
        <v>162.25754834921781</v>
      </c>
      <c r="N73">
        <f t="shared" ca="1" si="31"/>
        <v>583.11430233269391</v>
      </c>
    </row>
    <row r="74" spans="1:14" x14ac:dyDescent="0.25">
      <c r="B74" t="s">
        <v>216</v>
      </c>
      <c r="G74">
        <f ca="1">AVERAGE(F73,G73)*LBO!$F$26</f>
        <v>8.67558461006432E-2</v>
      </c>
      <c r="H74">
        <f ca="1">AVERAGE(G73,H73)*LBO!$F$26</f>
        <v>0.18020917318858579</v>
      </c>
      <c r="I74">
        <f ca="1">AVERAGE(H73,I73)*LBO!$F$26</f>
        <v>0.19677536556097522</v>
      </c>
      <c r="J74">
        <f ca="1">AVERAGE(I73,J73)*LBO!$F$26</f>
        <v>0.18174155988510779</v>
      </c>
      <c r="K74">
        <f ca="1">AVERAGE(J73,K73)*LBO!$F$26</f>
        <v>0.15961774235029996</v>
      </c>
      <c r="L74">
        <f ca="1">AVERAGE(K73,L73)*LBO!$F$26</f>
        <v>0.1568078229062104</v>
      </c>
      <c r="M74">
        <f ca="1">AVERAGE(L73,M73)*LBO!$F$26</f>
        <v>0.48125347284103015</v>
      </c>
      <c r="N74">
        <f ca="1">AVERAGE(M73,N73)*LBO!$F$26</f>
        <v>1.8634296267047794</v>
      </c>
    </row>
    <row r="76" spans="1:14" x14ac:dyDescent="0.25">
      <c r="B76" t="s">
        <v>215</v>
      </c>
      <c r="G76">
        <f ca="1">G73-CFS!G26</f>
        <v>1.7053025658242404E-13</v>
      </c>
      <c r="H76">
        <f ca="1">H73-CFS!H26</f>
        <v>1.7053025658242404E-13</v>
      </c>
      <c r="I76">
        <f ca="1">I73-CFS!I26</f>
        <v>1.7053025658242404E-13</v>
      </c>
      <c r="J76">
        <f ca="1">J73-CFS!J26</f>
        <v>1.2789769243681803E-13</v>
      </c>
      <c r="K76">
        <f ca="1">K73-CFS!K26</f>
        <v>0</v>
      </c>
      <c r="L76">
        <f ca="1">L73-CFS!L26</f>
        <v>8.0422069004271179E-10</v>
      </c>
      <c r="M76">
        <f ca="1">M73-CFS!M26</f>
        <v>-8.8077786131179892E-7</v>
      </c>
      <c r="N76">
        <f ca="1">N73-CFS!N26</f>
        <v>-3.3550729881426378E-5</v>
      </c>
    </row>
    <row r="78" spans="1:14" x14ac:dyDescent="0.25">
      <c r="A78" s="60" t="s">
        <v>96</v>
      </c>
    </row>
    <row r="79" spans="1:14" x14ac:dyDescent="0.25">
      <c r="B79" t="s">
        <v>97</v>
      </c>
      <c r="G79">
        <f>CFS!G5</f>
        <v>865.04166000000009</v>
      </c>
      <c r="H79">
        <f>CFS!H5</f>
        <v>1043.3610717999973</v>
      </c>
      <c r="I79">
        <f>CFS!I5</f>
        <v>1223.6760474739999</v>
      </c>
      <c r="J79">
        <f>CFS!J5</f>
        <v>1226.0425037574194</v>
      </c>
      <c r="K79">
        <f>CFS!K5</f>
        <v>1230.0820655601724</v>
      </c>
      <c r="L79">
        <f>CFS!L5</f>
        <v>1235.6684412075981</v>
      </c>
      <c r="M79">
        <f>CFS!M5</f>
        <v>1242.6943339680415</v>
      </c>
      <c r="N79">
        <f>CFS!N5</f>
        <v>1251.0688100538077</v>
      </c>
    </row>
    <row r="80" spans="1:14" x14ac:dyDescent="0.25">
      <c r="B80" t="s">
        <v>98</v>
      </c>
      <c r="G80">
        <f>G79+CFS!G13</f>
        <v>494.24166000000008</v>
      </c>
      <c r="H80">
        <f>H79+CFS!H13</f>
        <v>661.43707179999728</v>
      </c>
      <c r="I80">
        <f>I79+CFS!I13</f>
        <v>830.29432747399983</v>
      </c>
      <c r="J80">
        <f>J79+CFS!J13</f>
        <v>820.85933215741932</v>
      </c>
      <c r="K80">
        <f>K79+CFS!K13</f>
        <v>812.74339881217225</v>
      </c>
      <c r="L80">
        <f>L79+CFS!L13</f>
        <v>805.80961445715798</v>
      </c>
      <c r="M80">
        <f>M79+CFS!M13</f>
        <v>799.93974241508829</v>
      </c>
      <c r="N80">
        <f>N79+CFS!N13</f>
        <v>795.03158075426586</v>
      </c>
    </row>
    <row r="81" spans="1:14" x14ac:dyDescent="0.25">
      <c r="B81" t="s">
        <v>99</v>
      </c>
      <c r="F81">
        <f t="shared" ref="F81:N81" si="32">SUM(F27,F36,F45,F54,F60,F63)</f>
        <v>5884</v>
      </c>
      <c r="G81">
        <f t="shared" ca="1" si="32"/>
        <v>5812.7545346792285</v>
      </c>
      <c r="H81">
        <f t="shared" ca="1" si="32"/>
        <v>5584.5550766736978</v>
      </c>
      <c r="I81">
        <f t="shared" ca="1" si="32"/>
        <v>5225.7891535210583</v>
      </c>
      <c r="J81">
        <f t="shared" ca="1" si="32"/>
        <v>4864.663512912819</v>
      </c>
      <c r="K81">
        <f t="shared" ca="1" si="32"/>
        <v>4526.7673359513556</v>
      </c>
      <c r="L81">
        <f t="shared" ca="1" si="32"/>
        <v>4197.3153415136385</v>
      </c>
      <c r="M81">
        <f t="shared" ca="1" si="32"/>
        <v>4009.1486825315142</v>
      </c>
      <c r="N81">
        <f t="shared" ca="1" si="32"/>
        <v>4122.4208913337479</v>
      </c>
    </row>
    <row r="82" spans="1:14" x14ac:dyDescent="0.25">
      <c r="B82" t="s">
        <v>236</v>
      </c>
      <c r="F82">
        <f>SUM(F27,F36,F45,F54)</f>
        <v>3600</v>
      </c>
      <c r="G82">
        <f t="shared" ref="G82:N82" ca="1" si="33">SUM(G27,G36,G45,G54)</f>
        <v>3383.892984679228</v>
      </c>
      <c r="H82">
        <f t="shared" ca="1" si="33"/>
        <v>2991.7489921736974</v>
      </c>
      <c r="I82">
        <f t="shared" ca="1" si="33"/>
        <v>2447.762546006059</v>
      </c>
      <c r="J82">
        <f t="shared" ca="1" si="33"/>
        <v>1877.659120311569</v>
      </c>
      <c r="K82">
        <f t="shared" ca="1" si="33"/>
        <v>1304.2212551857001</v>
      </c>
      <c r="L82">
        <f t="shared" ca="1" si="33"/>
        <v>709.48973282410066</v>
      </c>
      <c r="M82">
        <f t="shared" ca="1" si="33"/>
        <v>222.71708785231294</v>
      </c>
      <c r="N82">
        <f t="shared" ca="1" si="33"/>
        <v>0</v>
      </c>
    </row>
    <row r="84" spans="1:14" x14ac:dyDescent="0.25">
      <c r="B84" t="s">
        <v>100</v>
      </c>
      <c r="G84" s="64">
        <f ca="1">G81/G79</f>
        <v>6.7196238094235001</v>
      </c>
      <c r="H84" s="64">
        <f t="shared" ref="H84:N84" ca="1" si="34">H81/H79</f>
        <v>5.3524663969293709</v>
      </c>
      <c r="I84" s="64">
        <f t="shared" ca="1" si="34"/>
        <v>4.2705658612085351</v>
      </c>
      <c r="J84" s="64">
        <f t="shared" ca="1" si="34"/>
        <v>3.9677772165354921</v>
      </c>
      <c r="K84" s="64">
        <f t="shared" ca="1" si="34"/>
        <v>3.6800531140903119</v>
      </c>
      <c r="L84" s="64">
        <f t="shared" ca="1" si="34"/>
        <v>3.3967973944626055</v>
      </c>
      <c r="M84" s="64">
        <f t="shared" ca="1" si="34"/>
        <v>3.2261744283728406</v>
      </c>
      <c r="N84" s="64">
        <f t="shared" ca="1" si="34"/>
        <v>3.2951192278196473</v>
      </c>
    </row>
    <row r="85" spans="1:14" x14ac:dyDescent="0.25">
      <c r="B85" t="s">
        <v>101</v>
      </c>
      <c r="G85" s="64">
        <f ca="1">G81/G80</f>
        <v>11.760956238855355</v>
      </c>
      <c r="H85" s="64">
        <f t="shared" ref="H85:N85" ca="1" si="35">H81/H80</f>
        <v>8.4430633158740367</v>
      </c>
      <c r="I85" s="64">
        <f t="shared" ca="1" si="35"/>
        <v>6.293899621619059</v>
      </c>
      <c r="J85" s="64">
        <f t="shared" ca="1" si="35"/>
        <v>5.926305911790382</v>
      </c>
      <c r="K85" s="64">
        <f t="shared" ca="1" si="35"/>
        <v>5.5697374381228375</v>
      </c>
      <c r="L85" s="64">
        <f t="shared" ca="1" si="35"/>
        <v>5.2088176489941782</v>
      </c>
      <c r="M85" s="64">
        <f t="shared" ca="1" si="35"/>
        <v>5.0118133528752331</v>
      </c>
      <c r="N85" s="64">
        <f t="shared" ca="1" si="35"/>
        <v>5.1852291042611247</v>
      </c>
    </row>
    <row r="86" spans="1:14" x14ac:dyDescent="0.25">
      <c r="B86" t="s">
        <v>102</v>
      </c>
      <c r="G86" s="64">
        <f ca="1">G79/-G67</f>
        <v>2.4831557647650504</v>
      </c>
      <c r="H86" s="64">
        <f t="shared" ref="H86:N86" ca="1" si="36">H79/-H67</f>
        <v>2.9517928246253611</v>
      </c>
      <c r="I86" s="64">
        <f t="shared" ca="1" si="36"/>
        <v>3.454722882229103</v>
      </c>
      <c r="J86" s="64">
        <f t="shared" ca="1" si="36"/>
        <v>3.4644153336680228</v>
      </c>
      <c r="K86" s="64">
        <f t="shared" ca="1" si="36"/>
        <v>3.456517606789578</v>
      </c>
      <c r="L86" s="64">
        <f t="shared" ca="1" si="36"/>
        <v>3.4440081492632291</v>
      </c>
      <c r="M86" s="64">
        <f t="shared" ca="1" si="36"/>
        <v>3.4772290497817346</v>
      </c>
      <c r="N86" s="64">
        <f t="shared" ca="1" si="36"/>
        <v>3.4277079647431434</v>
      </c>
    </row>
    <row r="87" spans="1:14" x14ac:dyDescent="0.25">
      <c r="B87" t="s">
        <v>103</v>
      </c>
      <c r="G87" s="64">
        <f ca="1">(G80+CFS!G13)/-Debt!G67</f>
        <v>0.35434694514154091</v>
      </c>
      <c r="H87" s="64">
        <f ca="1">(H80+CFS!H13)/-Debt!H67</f>
        <v>0.79077579375741036</v>
      </c>
      <c r="I87" s="64">
        <f ca="1">(I80+CFS!I13)/-Debt!I67</f>
        <v>1.2335061928282784</v>
      </c>
      <c r="J87" s="64">
        <f ca="1">(J80+CFS!J13)/-Debt!J67</f>
        <v>1.1745717298234082</v>
      </c>
      <c r="K87" s="64">
        <f ca="1">(K80+CFS!K13)/-Debt!K67</f>
        <v>1.1110831191293962</v>
      </c>
      <c r="L87" s="64">
        <f ca="1">(L80+CFS!L13)/-Debt!L67</f>
        <v>1.0478357570729104</v>
      </c>
      <c r="M87" s="64">
        <f ca="1">(M80+CFS!M13)/-Debt!M67</f>
        <v>0.99945300206094634</v>
      </c>
      <c r="N87" s="64">
        <f ca="1">(N80+CFS!N13)/-Debt!N67</f>
        <v>0.92878475520009018</v>
      </c>
    </row>
    <row r="88" spans="1:14" x14ac:dyDescent="0.25">
      <c r="B88" t="s">
        <v>235</v>
      </c>
      <c r="G88" s="62">
        <f ca="1">1-G82/$F$82</f>
        <v>6.0029726477992207E-2</v>
      </c>
      <c r="H88" s="62">
        <f t="shared" ref="H88:N88" ca="1" si="37">1-H82/$F$82</f>
        <v>0.1689586132850841</v>
      </c>
      <c r="I88" s="62">
        <f t="shared" ca="1" si="37"/>
        <v>0.32006595944276139</v>
      </c>
      <c r="J88" s="62">
        <f t="shared" ca="1" si="37"/>
        <v>0.47842802213567526</v>
      </c>
      <c r="K88" s="62">
        <f t="shared" ca="1" si="37"/>
        <v>0.63771631800397222</v>
      </c>
      <c r="L88" s="62">
        <f t="shared" ca="1" si="37"/>
        <v>0.80291951865997202</v>
      </c>
      <c r="M88" s="62">
        <f t="shared" ca="1" si="37"/>
        <v>0.93813414226324643</v>
      </c>
      <c r="N88" s="62">
        <f t="shared" ca="1" si="37"/>
        <v>1</v>
      </c>
    </row>
    <row r="89" spans="1:14" x14ac:dyDescent="0.25">
      <c r="G89" s="62"/>
      <c r="H89" s="62"/>
      <c r="I89" s="62"/>
      <c r="J89" s="62"/>
      <c r="K89" s="62"/>
      <c r="L89" s="62"/>
      <c r="M89" s="62"/>
      <c r="N89" s="62"/>
    </row>
    <row r="90" spans="1:14" ht="15.75" x14ac:dyDescent="0.25">
      <c r="A90" s="84" t="s">
        <v>163</v>
      </c>
    </row>
    <row r="97" customFormat="1" x14ac:dyDescent="0.25"/>
    <row r="98" customFormat="1" x14ac:dyDescent="0.25"/>
    <row r="99" customFormat="1" x14ac:dyDescent="0.25"/>
    <row r="100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7" customForma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5bd16f8d6507afe7e306fc7be4b4bde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90e5ade8cfd7859786285f2bf7e31add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83B4E421-9216-40FA-8C56-AEEF76B04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eded41-6c5d-4718-b7b7-dbfd1652bccf"/>
    <ds:schemaRef ds:uri="6ea4884f-dd23-4a9e-9674-e096257745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594475-9988-4CFD-A4A4-29D1685E9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C9EB56-CD20-49B4-A32C-5DB84F1421DA}">
  <ds:schemaRefs>
    <ds:schemaRef ds:uri="http://schemas.microsoft.com/office/2006/metadata/properties"/>
    <ds:schemaRef ds:uri="http://www.w3.org/2000/xmlns/"/>
    <ds:schemaRef ds:uri="69eded41-6c5d-4718-b7b7-dbfd1652bccf"/>
    <ds:schemaRef ds:uri="http://schemas.microsoft.com/office/infopath/2007/PartnerControls"/>
    <ds:schemaRef ds:uri="6ea4884f-dd23-4a9e-9674-e0962577458b"/>
    <ds:schemaRef ds:uri="http://www.w3.org/2001/XMLSchema-instan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switch</vt:lpstr>
      <vt:lpstr>target_yrend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Oliver Sealey</cp:lastModifiedBy>
  <cp:lastPrinted>2016-08-02T18:28:31Z</cp:lastPrinted>
  <dcterms:created xsi:type="dcterms:W3CDTF">2016-02-03T14:06:14Z</dcterms:created>
  <dcterms:modified xsi:type="dcterms:W3CDTF">2026-10-22T09:19:31Z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