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ibhero.sharepoint.com/FE Materials/Materials Development/8000 Project Finance/Project Finance Full Model Build/8160 Renewable Energy - Ratios/24. Case Study - Outputs - Conclusions/"/>
    </mc:Choice>
  </mc:AlternateContent>
  <xr:revisionPtr revIDLastSave="0" documentId="8_{E0447C17-DE05-4A29-9A7C-77DA8CB3AC21}" xr6:coauthVersionLast="47" xr6:coauthVersionMax="47" xr10:uidLastSave="{00000000-0000-0000-0000-000000000000}"/>
  <bookViews>
    <workbookView xWindow="-98" yWindow="-98" windowWidth="21795" windowHeight="13875" firstSheet="2" activeTab="2" xr2:uid="{EF0FE2B7-6F62-4013-B60E-F852B67F0C79}"/>
  </bookViews>
  <sheets>
    <sheet name="Welcome" sheetId="1" r:id="rId1"/>
    <sheet name="Info" sheetId="6" r:id="rId2"/>
    <sheet name="Assumptions and Outputs" sheetId="2" r:id="rId3"/>
    <sheet name="Operations" sheetId="8" r:id="rId4"/>
    <sheet name="Sources and Uses" sheetId="10" r:id="rId5"/>
    <sheet name="P&amp;L and Tax" sheetId="11" r:id="rId6"/>
    <sheet name="Balance sheet" sheetId="14" r:id="rId7"/>
    <sheet name="Cashflow statement" sheetId="16" r:id="rId8"/>
    <sheet name="Debt" sheetId="15" r:id="rId9"/>
  </sheets>
  <definedNames>
    <definedName name="circ_switch">Info!$N$10</definedName>
    <definedName name="Local_currency">Info!$N$7</definedName>
    <definedName name="_xlnm.Print_Area" localSheetId="2">'Assumptions and Outputs'!$A$1:$P$234</definedName>
    <definedName name="_xlnm.Print_Area" localSheetId="6">'Balance sheet'!$A$1:$S$226</definedName>
    <definedName name="_xlnm.Print_Area" localSheetId="7">'Cashflow statement'!$A$1:$S$219</definedName>
    <definedName name="_xlnm.Print_Area" localSheetId="8">Debt!$A$1:$S$253</definedName>
    <definedName name="_xlnm.Print_Area" localSheetId="3">Operations!$A$1:$S$210</definedName>
    <definedName name="_xlnm.Print_Area" localSheetId="5">'P&amp;L and Tax'!$A$1:$S$241</definedName>
    <definedName name="_xlnm.Print_Area" localSheetId="4">'Sources and Uses'!$A$1:$S$242</definedName>
    <definedName name="start_date">Info!$N$6</definedName>
    <definedName name="today_date">Info!$N$6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40" i="15" l="1"/>
  <c r="AA42" i="15" s="1"/>
  <c r="AA41" i="15"/>
  <c r="L6" i="15"/>
  <c r="M6" i="15"/>
  <c r="N6" i="15"/>
  <c r="O6" i="15"/>
  <c r="P6" i="15"/>
  <c r="Q6" i="15"/>
  <c r="R6" i="15"/>
  <c r="S6" i="15"/>
  <c r="T6" i="15"/>
  <c r="U6" i="15"/>
  <c r="V6" i="15"/>
  <c r="W6" i="15"/>
  <c r="X6" i="15"/>
  <c r="Y6" i="15"/>
  <c r="Z6" i="15"/>
  <c r="AA6" i="15"/>
  <c r="L7" i="15"/>
  <c r="M7" i="15"/>
  <c r="N7" i="15"/>
  <c r="O7" i="15"/>
  <c r="P7" i="15"/>
  <c r="Q7" i="15"/>
  <c r="R7" i="15"/>
  <c r="S7" i="15"/>
  <c r="T7" i="15"/>
  <c r="U7" i="15"/>
  <c r="V7" i="15"/>
  <c r="W7" i="15"/>
  <c r="X7" i="15"/>
  <c r="Y7" i="15"/>
  <c r="Z7" i="15"/>
  <c r="AA7" i="15"/>
  <c r="L8" i="15"/>
  <c r="M8" i="15"/>
  <c r="N8" i="15"/>
  <c r="O8" i="15"/>
  <c r="P8" i="15"/>
  <c r="Q8" i="15"/>
  <c r="R8" i="15"/>
  <c r="S8" i="15"/>
  <c r="T8" i="15"/>
  <c r="U8" i="15"/>
  <c r="V8" i="15"/>
  <c r="W8" i="15"/>
  <c r="X8" i="15"/>
  <c r="Y8" i="15"/>
  <c r="Z8" i="15"/>
  <c r="AA8" i="15"/>
  <c r="L6" i="10"/>
  <c r="M6" i="10"/>
  <c r="N6" i="10"/>
  <c r="O6" i="10"/>
  <c r="P6" i="10"/>
  <c r="Q6" i="10"/>
  <c r="R6" i="10"/>
  <c r="S6" i="10"/>
  <c r="T6" i="10"/>
  <c r="U6" i="10"/>
  <c r="V6" i="10"/>
  <c r="W6" i="10"/>
  <c r="X6" i="10"/>
  <c r="Y6" i="10"/>
  <c r="Z6" i="10"/>
  <c r="AA6" i="10"/>
  <c r="L7" i="10"/>
  <c r="M7" i="10"/>
  <c r="N7" i="10"/>
  <c r="O7" i="10"/>
  <c r="P7" i="10"/>
  <c r="Q7" i="10"/>
  <c r="R7" i="10"/>
  <c r="S7" i="10"/>
  <c r="T7" i="10"/>
  <c r="U7" i="10"/>
  <c r="V7" i="10"/>
  <c r="W7" i="10"/>
  <c r="X7" i="10"/>
  <c r="Y7" i="10"/>
  <c r="Z7" i="10"/>
  <c r="AA7" i="10"/>
  <c r="L10" i="10"/>
  <c r="M10" i="10"/>
  <c r="N10" i="10"/>
  <c r="O10" i="10"/>
  <c r="P10" i="10"/>
  <c r="Q10" i="10"/>
  <c r="R10" i="10"/>
  <c r="S10" i="10"/>
  <c r="T10" i="10"/>
  <c r="U10" i="10"/>
  <c r="V10" i="10"/>
  <c r="W10" i="10"/>
  <c r="X10" i="10"/>
  <c r="Y10" i="10"/>
  <c r="Z10" i="10"/>
  <c r="AA10" i="10"/>
  <c r="L26" i="10"/>
  <c r="M26" i="10" s="1"/>
  <c r="L33" i="10"/>
  <c r="M33" i="10"/>
  <c r="N33" i="10"/>
  <c r="O33" i="10"/>
  <c r="P33" i="10"/>
  <c r="Q33" i="10"/>
  <c r="R33" i="10"/>
  <c r="S33" i="10"/>
  <c r="T33" i="10"/>
  <c r="U33" i="10"/>
  <c r="V33" i="10"/>
  <c r="W33" i="10"/>
  <c r="X33" i="10"/>
  <c r="Y33" i="10"/>
  <c r="Z33" i="10"/>
  <c r="AA33" i="10"/>
  <c r="L34" i="10"/>
  <c r="M34" i="10"/>
  <c r="N34" i="10"/>
  <c r="O34" i="10"/>
  <c r="P34" i="10"/>
  <c r="Q34" i="10"/>
  <c r="R34" i="10"/>
  <c r="S34" i="10"/>
  <c r="T34" i="10"/>
  <c r="U34" i="10"/>
  <c r="V34" i="10"/>
  <c r="W34" i="10"/>
  <c r="X34" i="10"/>
  <c r="Y34" i="10"/>
  <c r="Z34" i="10"/>
  <c r="AA34" i="10"/>
  <c r="L36" i="10"/>
  <c r="M36" i="10" s="1"/>
  <c r="L43" i="10"/>
  <c r="L15" i="10" s="1"/>
  <c r="M43" i="10"/>
  <c r="M15" i="10" s="1"/>
  <c r="N43" i="10"/>
  <c r="N15" i="10" s="1"/>
  <c r="O43" i="10"/>
  <c r="O15" i="10" s="1"/>
  <c r="P43" i="10"/>
  <c r="P15" i="10" s="1"/>
  <c r="Q43" i="10"/>
  <c r="Q15" i="10" s="1"/>
  <c r="R43" i="10"/>
  <c r="R15" i="10" s="1"/>
  <c r="S43" i="10"/>
  <c r="S15" i="10" s="1"/>
  <c r="T43" i="10"/>
  <c r="T15" i="10" s="1"/>
  <c r="U43" i="10"/>
  <c r="U15" i="10" s="1"/>
  <c r="V43" i="10"/>
  <c r="V15" i="10" s="1"/>
  <c r="W43" i="10"/>
  <c r="W15" i="10" s="1"/>
  <c r="X43" i="10"/>
  <c r="X15" i="10" s="1"/>
  <c r="Y43" i="10"/>
  <c r="Y15" i="10" s="1"/>
  <c r="Z43" i="10"/>
  <c r="Z15" i="10" s="1"/>
  <c r="AA43" i="10"/>
  <c r="AA15" i="10" s="1"/>
  <c r="L6" i="8"/>
  <c r="M6" i="8"/>
  <c r="N6" i="8"/>
  <c r="O6" i="8"/>
  <c r="T7" i="8" s="1"/>
  <c r="T13" i="8" s="1"/>
  <c r="T14" i="8" s="1"/>
  <c r="P6" i="8"/>
  <c r="Q6" i="8"/>
  <c r="R6" i="8"/>
  <c r="W7" i="8" s="1"/>
  <c r="W13" i="8" s="1"/>
  <c r="W14" i="8" s="1"/>
  <c r="S6" i="8"/>
  <c r="T6" i="8"/>
  <c r="U6" i="8"/>
  <c r="V6" i="8"/>
  <c r="W6" i="8"/>
  <c r="X6" i="8"/>
  <c r="Y6" i="8"/>
  <c r="Z6" i="8"/>
  <c r="AA6" i="8"/>
  <c r="L7" i="8"/>
  <c r="M7" i="8"/>
  <c r="N7" i="8"/>
  <c r="O7" i="8"/>
  <c r="R7" i="8"/>
  <c r="Z7" i="8"/>
  <c r="L10" i="8"/>
  <c r="M10" i="8" s="1"/>
  <c r="L13" i="8"/>
  <c r="M13" i="8"/>
  <c r="N13" i="8"/>
  <c r="O13" i="8"/>
  <c r="R13" i="8"/>
  <c r="Z13" i="8"/>
  <c r="L14" i="8"/>
  <c r="M14" i="8"/>
  <c r="N14" i="8"/>
  <c r="O14" i="8"/>
  <c r="R14" i="8"/>
  <c r="Z14" i="8"/>
  <c r="L17" i="8"/>
  <c r="M17" i="8"/>
  <c r="N17" i="8"/>
  <c r="O17" i="8"/>
  <c r="P17" i="8"/>
  <c r="Q17" i="8"/>
  <c r="R17" i="8"/>
  <c r="S17" i="8"/>
  <c r="T17" i="8"/>
  <c r="U17" i="8"/>
  <c r="V17" i="8"/>
  <c r="W17" i="8"/>
  <c r="X17" i="8"/>
  <c r="Y17" i="8"/>
  <c r="Z17" i="8"/>
  <c r="AA17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L20" i="8"/>
  <c r="M20" i="8"/>
  <c r="N20" i="8"/>
  <c r="O20" i="8"/>
  <c r="P20" i="8"/>
  <c r="Q20" i="8"/>
  <c r="R20" i="8"/>
  <c r="S20" i="8"/>
  <c r="T20" i="8"/>
  <c r="U20" i="8"/>
  <c r="V20" i="8"/>
  <c r="W20" i="8"/>
  <c r="X20" i="8"/>
  <c r="Y20" i="8"/>
  <c r="Z20" i="8"/>
  <c r="AA20" i="8"/>
  <c r="L29" i="8"/>
  <c r="L30" i="8"/>
  <c r="L31" i="8"/>
  <c r="L46" i="8"/>
  <c r="L39" i="8" s="1"/>
  <c r="F19" i="11"/>
  <c r="F17" i="11"/>
  <c r="A1" i="16"/>
  <c r="A2" i="16"/>
  <c r="F2" i="16"/>
  <c r="G2" i="16"/>
  <c r="H2" i="16"/>
  <c r="I2" i="16" s="1"/>
  <c r="J2" i="16" s="1"/>
  <c r="K2" i="16" s="1"/>
  <c r="L2" i="16" s="1"/>
  <c r="M2" i="16" s="1"/>
  <c r="N2" i="16" s="1"/>
  <c r="O2" i="16" s="1"/>
  <c r="P2" i="16" s="1"/>
  <c r="Q2" i="16" s="1"/>
  <c r="R2" i="16" s="1"/>
  <c r="S2" i="16" s="1"/>
  <c r="T2" i="16" s="1"/>
  <c r="U2" i="16" s="1"/>
  <c r="V2" i="16" s="1"/>
  <c r="W2" i="16" s="1"/>
  <c r="X2" i="16" s="1"/>
  <c r="Y2" i="16" s="1"/>
  <c r="Z2" i="16" s="1"/>
  <c r="AA2" i="16" s="1"/>
  <c r="B3" i="16"/>
  <c r="L3" i="16"/>
  <c r="L4" i="16"/>
  <c r="B7" i="16"/>
  <c r="B8" i="16"/>
  <c r="M37" i="10" l="1"/>
  <c r="M39" i="10" s="1"/>
  <c r="N36" i="10"/>
  <c r="N26" i="10"/>
  <c r="M29" i="10" a="1"/>
  <c r="M29" i="10" s="1"/>
  <c r="M30" i="10" s="1"/>
  <c r="M40" i="10" s="1"/>
  <c r="L37" i="10"/>
  <c r="L39" i="10" s="1"/>
  <c r="L29" i="10" a="1"/>
  <c r="L29" i="10" s="1"/>
  <c r="L30" i="10" s="1"/>
  <c r="M29" i="8"/>
  <c r="M30" i="8"/>
  <c r="M31" i="8"/>
  <c r="M46" i="8"/>
  <c r="M39" i="8" s="1"/>
  <c r="N10" i="8"/>
  <c r="AA7" i="8"/>
  <c r="AA13" i="8" s="1"/>
  <c r="AA14" i="8" s="1"/>
  <c r="S7" i="8"/>
  <c r="S13" i="8" s="1"/>
  <c r="S14" i="8" s="1"/>
  <c r="Y7" i="8"/>
  <c r="Y13" i="8" s="1"/>
  <c r="Y14" i="8" s="1"/>
  <c r="Q7" i="8"/>
  <c r="Q13" i="8" s="1"/>
  <c r="Q14" i="8" s="1"/>
  <c r="X7" i="8"/>
  <c r="X13" i="8" s="1"/>
  <c r="X14" i="8" s="1"/>
  <c r="P7" i="8"/>
  <c r="P13" i="8" s="1"/>
  <c r="P14" i="8" s="1"/>
  <c r="V7" i="8"/>
  <c r="V13" i="8" s="1"/>
  <c r="V14" i="8" s="1"/>
  <c r="U7" i="8"/>
  <c r="U13" i="8" s="1"/>
  <c r="U14" i="8" s="1"/>
  <c r="B9" i="16"/>
  <c r="F21" i="16"/>
  <c r="L24" i="16"/>
  <c r="L25" i="16"/>
  <c r="L26" i="16"/>
  <c r="L27" i="16"/>
  <c r="L28" i="16"/>
  <c r="L29" i="16"/>
  <c r="L30" i="16"/>
  <c r="L31" i="16"/>
  <c r="L32" i="16"/>
  <c r="L33" i="16"/>
  <c r="L34" i="16"/>
  <c r="L35" i="16"/>
  <c r="L36" i="16"/>
  <c r="L37" i="16"/>
  <c r="L38" i="16"/>
  <c r="L39" i="16"/>
  <c r="L40" i="16"/>
  <c r="L41" i="16"/>
  <c r="L42" i="16"/>
  <c r="L43" i="16"/>
  <c r="L44" i="16"/>
  <c r="L45" i="16"/>
  <c r="L46" i="16"/>
  <c r="L47" i="16"/>
  <c r="L48" i="16"/>
  <c r="L49" i="16"/>
  <c r="L50" i="16"/>
  <c r="L51" i="16"/>
  <c r="L52" i="16"/>
  <c r="L53" i="16"/>
  <c r="L54" i="16"/>
  <c r="L55" i="16"/>
  <c r="L56" i="16"/>
  <c r="L57" i="16"/>
  <c r="A1" i="15"/>
  <c r="A2" i="15"/>
  <c r="F2" i="15"/>
  <c r="G2" i="15"/>
  <c r="H2" i="15" s="1"/>
  <c r="B3" i="15"/>
  <c r="L3" i="15"/>
  <c r="L4" i="15"/>
  <c r="L5" i="15"/>
  <c r="D6" i="15"/>
  <c r="F6" i="15"/>
  <c r="M13" i="10" l="1"/>
  <c r="L40" i="10"/>
  <c r="N29" i="10" a="1"/>
  <c r="N29" i="10" s="1"/>
  <c r="N30" i="10" s="1"/>
  <c r="N40" i="10" s="1"/>
  <c r="O26" i="10"/>
  <c r="N37" i="10"/>
  <c r="N39" i="10" s="1"/>
  <c r="O36" i="10"/>
  <c r="N29" i="8"/>
  <c r="N30" i="8"/>
  <c r="N31" i="8"/>
  <c r="N46" i="8"/>
  <c r="N39" i="8" s="1"/>
  <c r="O10" i="8"/>
  <c r="I2" i="15"/>
  <c r="H6" i="15"/>
  <c r="G6" i="15"/>
  <c r="F7" i="15"/>
  <c r="G7" i="15"/>
  <c r="H7" i="15"/>
  <c r="I7" i="15"/>
  <c r="J7" i="15"/>
  <c r="K7" i="15"/>
  <c r="N13" i="10" l="1"/>
  <c r="O37" i="10"/>
  <c r="O39" i="10" s="1"/>
  <c r="P36" i="10"/>
  <c r="P26" i="10"/>
  <c r="O29" i="10" a="1"/>
  <c r="O29" i="10" s="1"/>
  <c r="O30" i="10" s="1"/>
  <c r="O40" i="10" s="1"/>
  <c r="L13" i="10"/>
  <c r="O30" i="8"/>
  <c r="O31" i="8"/>
  <c r="O46" i="8"/>
  <c r="O39" i="8" s="1"/>
  <c r="O29" i="8"/>
  <c r="P10" i="8"/>
  <c r="J2" i="15"/>
  <c r="I6" i="15"/>
  <c r="F8" i="15"/>
  <c r="G8" i="15"/>
  <c r="H8" i="15"/>
  <c r="I8" i="15"/>
  <c r="J8" i="15"/>
  <c r="K8" i="15"/>
  <c r="O13" i="10" l="1"/>
  <c r="Q26" i="10"/>
  <c r="P29" i="10" a="1"/>
  <c r="P29" i="10" s="1"/>
  <c r="P30" i="10" s="1"/>
  <c r="P40" i="10" s="1"/>
  <c r="Q36" i="10"/>
  <c r="P37" i="10"/>
  <c r="P39" i="10" s="1"/>
  <c r="P29" i="8"/>
  <c r="P30" i="8"/>
  <c r="P31" i="8"/>
  <c r="P46" i="8"/>
  <c r="P39" i="8" s="1"/>
  <c r="Q10" i="8"/>
  <c r="J6" i="15"/>
  <c r="K2" i="15"/>
  <c r="Q29" i="10" l="1" a="1"/>
  <c r="Q29" i="10" s="1"/>
  <c r="Q30" i="10" s="1"/>
  <c r="Q40" i="10" s="1"/>
  <c r="R26" i="10"/>
  <c r="Q37" i="10"/>
  <c r="Q39" i="10" s="1"/>
  <c r="R36" i="10"/>
  <c r="P13" i="10"/>
  <c r="R10" i="8"/>
  <c r="Q29" i="8"/>
  <c r="Q30" i="8"/>
  <c r="Q31" i="8"/>
  <c r="Q46" i="8"/>
  <c r="Q39" i="8" s="1"/>
  <c r="L2" i="15"/>
  <c r="M2" i="15" s="1"/>
  <c r="N2" i="15" s="1"/>
  <c r="O2" i="15" s="1"/>
  <c r="P2" i="15" s="1"/>
  <c r="Q2" i="15" s="1"/>
  <c r="R2" i="15" s="1"/>
  <c r="S2" i="15" s="1"/>
  <c r="T2" i="15" s="1"/>
  <c r="U2" i="15" s="1"/>
  <c r="V2" i="15" s="1"/>
  <c r="W2" i="15" s="1"/>
  <c r="X2" i="15" s="1"/>
  <c r="Y2" i="15" s="1"/>
  <c r="Z2" i="15" s="1"/>
  <c r="AA2" i="15" s="1"/>
  <c r="K6" i="15"/>
  <c r="Q13" i="10" l="1"/>
  <c r="R29" i="10" a="1"/>
  <c r="R29" i="10" s="1"/>
  <c r="R30" i="10" s="1"/>
  <c r="S26" i="10"/>
  <c r="R37" i="10"/>
  <c r="R39" i="10" s="1"/>
  <c r="S36" i="10"/>
  <c r="R30" i="8"/>
  <c r="R46" i="8"/>
  <c r="R39" i="8" s="1"/>
  <c r="R31" i="8"/>
  <c r="R29" i="8"/>
  <c r="S10" i="8"/>
  <c r="T36" i="10" l="1"/>
  <c r="S37" i="10"/>
  <c r="S39" i="10" s="1"/>
  <c r="S29" i="10" a="1"/>
  <c r="S29" i="10" s="1"/>
  <c r="S30" i="10" s="1"/>
  <c r="S40" i="10" s="1"/>
  <c r="T26" i="10"/>
  <c r="R40" i="10"/>
  <c r="T10" i="8"/>
  <c r="S46" i="8"/>
  <c r="S39" i="8" s="1"/>
  <c r="S29" i="8"/>
  <c r="S30" i="8"/>
  <c r="S31" i="8"/>
  <c r="F18" i="15"/>
  <c r="F21" i="15"/>
  <c r="C23" i="15"/>
  <c r="D23" i="15"/>
  <c r="C25" i="15"/>
  <c r="D25" i="15"/>
  <c r="F29" i="15"/>
  <c r="C31" i="15"/>
  <c r="D31" i="15"/>
  <c r="C33" i="15"/>
  <c r="D33" i="15"/>
  <c r="D46" i="15"/>
  <c r="D47" i="15"/>
  <c r="D50" i="15"/>
  <c r="D64" i="15"/>
  <c r="U26" i="10" l="1"/>
  <c r="T29" i="10" a="1"/>
  <c r="T29" i="10" s="1"/>
  <c r="T30" i="10" s="1"/>
  <c r="R13" i="10"/>
  <c r="S13" i="10"/>
  <c r="U36" i="10"/>
  <c r="T37" i="10"/>
  <c r="T39" i="10" s="1"/>
  <c r="T29" i="8"/>
  <c r="T30" i="8"/>
  <c r="T31" i="8"/>
  <c r="T46" i="8"/>
  <c r="T39" i="8" s="1"/>
  <c r="U10" i="8"/>
  <c r="D72" i="15"/>
  <c r="D76" i="15"/>
  <c r="D79" i="15"/>
  <c r="D82" i="15"/>
  <c r="D86" i="15"/>
  <c r="K43" i="10"/>
  <c r="J43" i="10"/>
  <c r="I43" i="10"/>
  <c r="H43" i="10"/>
  <c r="F6" i="14"/>
  <c r="F49" i="11"/>
  <c r="F27" i="11"/>
  <c r="F59" i="10"/>
  <c r="F48" i="10"/>
  <c r="G39" i="10"/>
  <c r="G40" i="10" s="1"/>
  <c r="H39" i="10"/>
  <c r="H40" i="10" s="1"/>
  <c r="I39" i="10"/>
  <c r="J39" i="10"/>
  <c r="K39" i="10"/>
  <c r="I40" i="10"/>
  <c r="J40" i="10"/>
  <c r="K40" i="10"/>
  <c r="F40" i="10"/>
  <c r="F39" i="10"/>
  <c r="G36" i="10"/>
  <c r="H36" i="10" s="1"/>
  <c r="F37" i="10"/>
  <c r="F36" i="10"/>
  <c r="G33" i="10"/>
  <c r="G34" i="10" s="1"/>
  <c r="H33" i="10"/>
  <c r="H34" i="10" s="1"/>
  <c r="I33" i="10"/>
  <c r="J33" i="10"/>
  <c r="K33" i="10"/>
  <c r="K34" i="10" s="1"/>
  <c r="I34" i="10"/>
  <c r="J34" i="10"/>
  <c r="F34" i="10"/>
  <c r="F33" i="10"/>
  <c r="G10" i="10"/>
  <c r="H10" i="10"/>
  <c r="I10" i="10"/>
  <c r="J10" i="10"/>
  <c r="K10" i="10"/>
  <c r="F10" i="10"/>
  <c r="G6" i="10"/>
  <c r="G7" i="10" s="1"/>
  <c r="H6" i="10"/>
  <c r="H7" i="10" s="1"/>
  <c r="I6" i="10"/>
  <c r="J6" i="10"/>
  <c r="K6" i="10"/>
  <c r="I7" i="10"/>
  <c r="J7" i="10"/>
  <c r="K7" i="10"/>
  <c r="F7" i="10"/>
  <c r="F6" i="10"/>
  <c r="G30" i="10"/>
  <c r="H30" i="10"/>
  <c r="I30" i="10"/>
  <c r="J30" i="10"/>
  <c r="K30" i="10"/>
  <c r="F30" i="10"/>
  <c r="G29" i="10" a="1"/>
  <c r="G29" i="10" s="1"/>
  <c r="H29" i="10" a="1"/>
  <c r="H29" i="10"/>
  <c r="I29" i="10" a="1"/>
  <c r="I29" i="10" s="1"/>
  <c r="J29" i="10" a="1"/>
  <c r="J29" i="10"/>
  <c r="K29" i="10" a="1"/>
  <c r="K29" i="10" s="1"/>
  <c r="F29" i="10" a="1"/>
  <c r="F29" i="10" s="1"/>
  <c r="G26" i="10"/>
  <c r="H26" i="10" s="1"/>
  <c r="I26" i="10" s="1"/>
  <c r="J26" i="10" s="1"/>
  <c r="K26" i="10" s="1"/>
  <c r="F26" i="10"/>
  <c r="G39" i="8"/>
  <c r="H39" i="8"/>
  <c r="I39" i="8"/>
  <c r="J39" i="8"/>
  <c r="K39" i="8"/>
  <c r="F39" i="8"/>
  <c r="G46" i="8"/>
  <c r="H46" i="8"/>
  <c r="I46" i="8"/>
  <c r="J46" i="8"/>
  <c r="K46" i="8"/>
  <c r="F46" i="8"/>
  <c r="F30" i="8"/>
  <c r="G30" i="8"/>
  <c r="H30" i="8"/>
  <c r="I30" i="8"/>
  <c r="J30" i="8"/>
  <c r="K30" i="8"/>
  <c r="F31" i="8"/>
  <c r="G31" i="8"/>
  <c r="H31" i="8"/>
  <c r="I31" i="8"/>
  <c r="J31" i="8"/>
  <c r="K31" i="8"/>
  <c r="G29" i="8"/>
  <c r="H29" i="8"/>
  <c r="I29" i="8"/>
  <c r="J29" i="8"/>
  <c r="K29" i="8"/>
  <c r="F29" i="8"/>
  <c r="G18" i="8"/>
  <c r="G20" i="8" s="1"/>
  <c r="H18" i="8"/>
  <c r="H20" i="8" s="1"/>
  <c r="I18" i="8"/>
  <c r="J18" i="8"/>
  <c r="K18" i="8"/>
  <c r="G19" i="8"/>
  <c r="H19" i="8"/>
  <c r="I19" i="8"/>
  <c r="J19" i="8"/>
  <c r="J20" i="8" s="1"/>
  <c r="K19" i="8"/>
  <c r="I20" i="8"/>
  <c r="F20" i="8"/>
  <c r="F19" i="8"/>
  <c r="F18" i="8"/>
  <c r="G17" i="8"/>
  <c r="H17" i="8"/>
  <c r="I17" i="8"/>
  <c r="J17" i="8"/>
  <c r="K17" i="8"/>
  <c r="F17" i="8"/>
  <c r="G14" i="8"/>
  <c r="H14" i="8"/>
  <c r="I14" i="8"/>
  <c r="J14" i="8"/>
  <c r="K14" i="8"/>
  <c r="F14" i="8"/>
  <c r="G13" i="8"/>
  <c r="H13" i="8"/>
  <c r="I13" i="8"/>
  <c r="J13" i="8"/>
  <c r="K13" i="8"/>
  <c r="F13" i="8"/>
  <c r="G10" i="8"/>
  <c r="H10" i="8" s="1"/>
  <c r="I10" i="8" s="1"/>
  <c r="J10" i="8" s="1"/>
  <c r="K10" i="8" s="1"/>
  <c r="F10" i="8"/>
  <c r="G7" i="8"/>
  <c r="H7" i="8"/>
  <c r="I7" i="8"/>
  <c r="J7" i="8"/>
  <c r="K7" i="8"/>
  <c r="F7" i="8"/>
  <c r="G6" i="8"/>
  <c r="H6" i="8"/>
  <c r="I6" i="8"/>
  <c r="J6" i="8"/>
  <c r="K6" i="8"/>
  <c r="F6" i="8"/>
  <c r="L3" i="14"/>
  <c r="L4" i="14"/>
  <c r="L5" i="14"/>
  <c r="L28" i="14"/>
  <c r="L29" i="14"/>
  <c r="L30" i="14"/>
  <c r="L31" i="14"/>
  <c r="L32" i="14"/>
  <c r="L33" i="14"/>
  <c r="L34" i="14"/>
  <c r="L35" i="14"/>
  <c r="L36" i="14"/>
  <c r="L37" i="14"/>
  <c r="L38" i="14"/>
  <c r="L39" i="14"/>
  <c r="L3" i="11"/>
  <c r="L4" i="11"/>
  <c r="L5" i="11"/>
  <c r="L51" i="11"/>
  <c r="L52" i="11"/>
  <c r="L53" i="11"/>
  <c r="L54" i="11"/>
  <c r="L55" i="11"/>
  <c r="L56" i="11"/>
  <c r="L57" i="11"/>
  <c r="L3" i="8"/>
  <c r="L4" i="8"/>
  <c r="L5" i="8"/>
  <c r="L53" i="8"/>
  <c r="L54" i="8"/>
  <c r="L55" i="8"/>
  <c r="L56" i="8"/>
  <c r="L57" i="8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100" i="2"/>
  <c r="L101" i="2"/>
  <c r="D18" i="8"/>
  <c r="T40" i="10" l="1"/>
  <c r="U37" i="10"/>
  <c r="U39" i="10" s="1"/>
  <c r="V36" i="10"/>
  <c r="V26" i="10"/>
  <c r="U29" i="10" a="1"/>
  <c r="U29" i="10" s="1"/>
  <c r="U30" i="10" s="1"/>
  <c r="U40" i="10" s="1"/>
  <c r="U29" i="8"/>
  <c r="U30" i="8"/>
  <c r="U31" i="8"/>
  <c r="U46" i="8"/>
  <c r="U39" i="8" s="1"/>
  <c r="V10" i="8"/>
  <c r="I36" i="10"/>
  <c r="H37" i="10"/>
  <c r="G37" i="10"/>
  <c r="K20" i="8"/>
  <c r="F2" i="2"/>
  <c r="G2" i="2" s="1"/>
  <c r="H2" i="2" s="1"/>
  <c r="I2" i="2" s="1"/>
  <c r="J2" i="2" s="1"/>
  <c r="K2" i="2" s="1"/>
  <c r="L2" i="2" s="1"/>
  <c r="M2" i="2" s="1"/>
  <c r="N2" i="2" s="1"/>
  <c r="O2" i="2" s="1"/>
  <c r="P2" i="2" s="1"/>
  <c r="Q2" i="2" s="1"/>
  <c r="R2" i="2" s="1"/>
  <c r="S2" i="2" s="1"/>
  <c r="T2" i="2" s="1"/>
  <c r="U2" i="2" s="1"/>
  <c r="V2" i="2" s="1"/>
  <c r="W2" i="2" s="1"/>
  <c r="X2" i="2" s="1"/>
  <c r="Y2" i="2" s="1"/>
  <c r="Z2" i="2" s="1"/>
  <c r="AA2" i="2" s="1"/>
  <c r="A2" i="2"/>
  <c r="A1" i="2"/>
  <c r="I114" i="2"/>
  <c r="J114" i="2"/>
  <c r="K114" i="2"/>
  <c r="L114" i="2"/>
  <c r="M114" i="2"/>
  <c r="H116" i="2"/>
  <c r="U13" i="10" l="1"/>
  <c r="V29" i="10" a="1"/>
  <c r="V29" i="10" s="1"/>
  <c r="V30" i="10" s="1"/>
  <c r="V40" i="10" s="1"/>
  <c r="W26" i="10"/>
  <c r="V37" i="10"/>
  <c r="V39" i="10" s="1"/>
  <c r="W36" i="10"/>
  <c r="T13" i="10"/>
  <c r="V29" i="8"/>
  <c r="V30" i="8"/>
  <c r="V31" i="8"/>
  <c r="V46" i="8"/>
  <c r="V39" i="8" s="1"/>
  <c r="W10" i="8"/>
  <c r="J36" i="10"/>
  <c r="I37" i="10"/>
  <c r="D55" i="10"/>
  <c r="A1" i="11"/>
  <c r="A2" i="11"/>
  <c r="F2" i="11"/>
  <c r="G2" i="11" s="1"/>
  <c r="H2" i="11" s="1"/>
  <c r="I2" i="11" s="1"/>
  <c r="J2" i="11" s="1"/>
  <c r="K2" i="11" s="1"/>
  <c r="L2" i="11" s="1"/>
  <c r="M2" i="11" s="1"/>
  <c r="N2" i="11" s="1"/>
  <c r="O2" i="11" s="1"/>
  <c r="P2" i="11" s="1"/>
  <c r="Q2" i="11" s="1"/>
  <c r="R2" i="11" s="1"/>
  <c r="S2" i="11" s="1"/>
  <c r="T2" i="11" s="1"/>
  <c r="U2" i="11" s="1"/>
  <c r="V2" i="11" s="1"/>
  <c r="W2" i="11" s="1"/>
  <c r="X2" i="11" s="1"/>
  <c r="Y2" i="11" s="1"/>
  <c r="Z2" i="11" s="1"/>
  <c r="AA2" i="11" s="1"/>
  <c r="B3" i="11"/>
  <c r="D14" i="11"/>
  <c r="D15" i="11"/>
  <c r="D37" i="11"/>
  <c r="D45" i="11"/>
  <c r="A1" i="14"/>
  <c r="A2" i="14"/>
  <c r="F2" i="14"/>
  <c r="G2" i="14" s="1"/>
  <c r="H2" i="14" s="1"/>
  <c r="I2" i="14" s="1"/>
  <c r="J2" i="14" s="1"/>
  <c r="K2" i="14" s="1"/>
  <c r="L2" i="14" s="1"/>
  <c r="M2" i="14" s="1"/>
  <c r="N2" i="14" s="1"/>
  <c r="O2" i="14" s="1"/>
  <c r="P2" i="14" s="1"/>
  <c r="Q2" i="14" s="1"/>
  <c r="R2" i="14" s="1"/>
  <c r="S2" i="14" s="1"/>
  <c r="T2" i="14" s="1"/>
  <c r="U2" i="14" s="1"/>
  <c r="V2" i="14" s="1"/>
  <c r="W2" i="14" s="1"/>
  <c r="X2" i="14" s="1"/>
  <c r="Y2" i="14" s="1"/>
  <c r="Z2" i="14" s="1"/>
  <c r="AA2" i="14" s="1"/>
  <c r="B3" i="14"/>
  <c r="C13" i="14"/>
  <c r="D13" i="14"/>
  <c r="C18" i="14"/>
  <c r="D18" i="14"/>
  <c r="A1" i="10"/>
  <c r="A2" i="10"/>
  <c r="F2" i="10"/>
  <c r="G2" i="10" s="1"/>
  <c r="H2" i="10" s="1"/>
  <c r="I2" i="10" s="1"/>
  <c r="B3" i="10"/>
  <c r="C27" i="10"/>
  <c r="D27" i="10"/>
  <c r="C28" i="10"/>
  <c r="D30" i="10"/>
  <c r="D33" i="10"/>
  <c r="C34" i="10"/>
  <c r="D34" i="10"/>
  <c r="D36" i="10"/>
  <c r="C50" i="10"/>
  <c r="D50" i="10"/>
  <c r="C66" i="10"/>
  <c r="D66" i="10"/>
  <c r="C67" i="10"/>
  <c r="V13" i="10" l="1"/>
  <c r="W37" i="10"/>
  <c r="W39" i="10" s="1"/>
  <c r="X36" i="10"/>
  <c r="X26" i="10"/>
  <c r="W29" i="10" a="1"/>
  <c r="W29" i="10" s="1"/>
  <c r="W30" i="10" s="1"/>
  <c r="W40" i="10" s="1"/>
  <c r="W31" i="8"/>
  <c r="W46" i="8"/>
  <c r="W39" i="8" s="1"/>
  <c r="W29" i="8"/>
  <c r="W30" i="8"/>
  <c r="X10" i="8"/>
  <c r="J37" i="10"/>
  <c r="K36" i="10"/>
  <c r="J2" i="10"/>
  <c r="Y36" i="10" l="1"/>
  <c r="X37" i="10"/>
  <c r="X39" i="10" s="1"/>
  <c r="Y26" i="10"/>
  <c r="X29" i="10" a="1"/>
  <c r="X29" i="10" s="1"/>
  <c r="X30" i="10" s="1"/>
  <c r="X40" i="10" s="1"/>
  <c r="W13" i="10"/>
  <c r="X29" i="8"/>
  <c r="X30" i="8"/>
  <c r="X31" i="8"/>
  <c r="X46" i="8"/>
  <c r="X39" i="8" s="1"/>
  <c r="Y10" i="8"/>
  <c r="K37" i="10"/>
  <c r="K2" i="10"/>
  <c r="X13" i="10" l="1"/>
  <c r="Y29" i="10" a="1"/>
  <c r="Y29" i="10" s="1"/>
  <c r="Y30" i="10" s="1"/>
  <c r="Y40" i="10" s="1"/>
  <c r="Z26" i="10"/>
  <c r="Y37" i="10"/>
  <c r="Y39" i="10" s="1"/>
  <c r="Z36" i="10"/>
  <c r="Y29" i="8"/>
  <c r="Y30" i="8"/>
  <c r="Y31" i="8"/>
  <c r="Y46" i="8"/>
  <c r="Y39" i="8" s="1"/>
  <c r="Z10" i="8"/>
  <c r="L2" i="10"/>
  <c r="Z37" i="10" l="1"/>
  <c r="Z39" i="10" s="1"/>
  <c r="AA36" i="10"/>
  <c r="AA37" i="10" s="1"/>
  <c r="AA39" i="10" s="1"/>
  <c r="Y13" i="10"/>
  <c r="Z29" i="10" a="1"/>
  <c r="Z29" i="10" s="1"/>
  <c r="Z30" i="10" s="1"/>
  <c r="Z40" i="10" s="1"/>
  <c r="AA26" i="10"/>
  <c r="AA29" i="10" s="1" a="1"/>
  <c r="AA29" i="10" s="1"/>
  <c r="AA30" i="10" s="1"/>
  <c r="AA40" i="10" s="1"/>
  <c r="Z31" i="8"/>
  <c r="Z29" i="8"/>
  <c r="Z30" i="8"/>
  <c r="Z46" i="8"/>
  <c r="Z39" i="8" s="1"/>
  <c r="AA10" i="8"/>
  <c r="M2" i="10"/>
  <c r="Z13" i="10" l="1"/>
  <c r="AA13" i="10"/>
  <c r="AA46" i="8"/>
  <c r="AA39" i="8" s="1"/>
  <c r="AA29" i="8"/>
  <c r="AA30" i="8"/>
  <c r="AA31" i="8"/>
  <c r="N2" i="10"/>
  <c r="O2" i="10" l="1"/>
  <c r="P2" i="10" l="1"/>
  <c r="Q2" i="10" l="1"/>
  <c r="R2" i="10" l="1"/>
  <c r="S2" i="10" l="1"/>
  <c r="T2" i="10" l="1"/>
  <c r="U2" i="10" l="1"/>
  <c r="V2" i="10" l="1"/>
  <c r="W2" i="10" l="1"/>
  <c r="X2" i="10" l="1"/>
  <c r="Y2" i="10" l="1"/>
  <c r="Z2" i="10" l="1"/>
  <c r="AA2" i="10" l="1"/>
  <c r="D68" i="2" l="1"/>
  <c r="D45" i="2"/>
  <c r="D28" i="10" s="1"/>
  <c r="D67" i="10" l="1"/>
  <c r="D46" i="8"/>
  <c r="D45" i="8"/>
  <c r="D39" i="8"/>
  <c r="D38" i="8"/>
  <c r="D30" i="8"/>
  <c r="D31" i="8"/>
  <c r="D29" i="8"/>
  <c r="D26" i="8"/>
  <c r="D25" i="8"/>
  <c r="B27" i="2"/>
  <c r="B28" i="2"/>
  <c r="D15" i="8"/>
  <c r="D19" i="8"/>
  <c r="D14" i="8"/>
  <c r="D13" i="8"/>
  <c r="F2" i="8"/>
  <c r="D10" i="8"/>
  <c r="D6" i="8"/>
  <c r="M15" i="8" l="1"/>
  <c r="M22" i="8" s="1"/>
  <c r="N15" i="8"/>
  <c r="N22" i="8" s="1"/>
  <c r="O15" i="8"/>
  <c r="O22" i="8" s="1"/>
  <c r="R15" i="8"/>
  <c r="R22" i="8" s="1"/>
  <c r="Z15" i="8"/>
  <c r="Z22" i="8" s="1"/>
  <c r="L15" i="8"/>
  <c r="L22" i="8" s="1"/>
  <c r="W15" i="8"/>
  <c r="W22" i="8" s="1"/>
  <c r="T15" i="8"/>
  <c r="T22" i="8" s="1"/>
  <c r="X15" i="8"/>
  <c r="X22" i="8" s="1"/>
  <c r="V15" i="8"/>
  <c r="V22" i="8" s="1"/>
  <c r="Y15" i="8"/>
  <c r="Y22" i="8" s="1"/>
  <c r="AA15" i="8"/>
  <c r="AA22" i="8" s="1"/>
  <c r="P15" i="8"/>
  <c r="P22" i="8" s="1"/>
  <c r="S15" i="8"/>
  <c r="S22" i="8" s="1"/>
  <c r="Q15" i="8"/>
  <c r="Q22" i="8" s="1"/>
  <c r="U15" i="8"/>
  <c r="U22" i="8" s="1"/>
  <c r="J15" i="8"/>
  <c r="J22" i="8" s="1"/>
  <c r="K15" i="8"/>
  <c r="K22" i="8" s="1"/>
  <c r="F15" i="8"/>
  <c r="F22" i="8" s="1"/>
  <c r="G15" i="8"/>
  <c r="G22" i="8" s="1"/>
  <c r="I15" i="8"/>
  <c r="I22" i="8" s="1"/>
  <c r="H15" i="8"/>
  <c r="H22" i="8" s="1"/>
  <c r="G2" i="8"/>
  <c r="H2" i="8"/>
  <c r="B3" i="8"/>
  <c r="A2" i="8"/>
  <c r="A1" i="8"/>
  <c r="Q25" i="8" l="1"/>
  <c r="Q33" i="8" s="1"/>
  <c r="Q26" i="8"/>
  <c r="Q34" i="8" s="1"/>
  <c r="Q27" i="8"/>
  <c r="Q35" i="8" s="1"/>
  <c r="L26" i="8"/>
  <c r="L34" i="8" s="1"/>
  <c r="L25" i="8"/>
  <c r="L33" i="8" s="1"/>
  <c r="L27" i="8"/>
  <c r="L35" i="8" s="1"/>
  <c r="J25" i="8"/>
  <c r="J33" i="8" s="1"/>
  <c r="J27" i="8"/>
  <c r="J35" i="8" s="1"/>
  <c r="J26" i="8"/>
  <c r="J34" i="8" s="1"/>
  <c r="M27" i="8"/>
  <c r="M35" i="8" s="1"/>
  <c r="M26" i="8"/>
  <c r="M34" i="8" s="1"/>
  <c r="M25" i="8"/>
  <c r="M33" i="8" s="1"/>
  <c r="T26" i="8"/>
  <c r="T34" i="8" s="1"/>
  <c r="T27" i="8"/>
  <c r="T35" i="8" s="1"/>
  <c r="T25" i="8"/>
  <c r="T33" i="8" s="1"/>
  <c r="T36" i="8" s="1"/>
  <c r="W25" i="8"/>
  <c r="W33" i="8" s="1"/>
  <c r="W26" i="8"/>
  <c r="W34" i="8" s="1"/>
  <c r="W27" i="8"/>
  <c r="W35" i="8" s="1"/>
  <c r="H27" i="8"/>
  <c r="H35" i="8" s="1"/>
  <c r="H26" i="8"/>
  <c r="H34" i="8" s="1"/>
  <c r="H25" i="8"/>
  <c r="H33" i="8" s="1"/>
  <c r="H36" i="8" s="1"/>
  <c r="S25" i="8"/>
  <c r="S33" i="8" s="1"/>
  <c r="S26" i="8"/>
  <c r="S34" i="8" s="1"/>
  <c r="S27" i="8"/>
  <c r="S35" i="8" s="1"/>
  <c r="I27" i="8"/>
  <c r="I35" i="8" s="1"/>
  <c r="I26" i="8"/>
  <c r="I34" i="8" s="1"/>
  <c r="I25" i="8"/>
  <c r="I33" i="8" s="1"/>
  <c r="P26" i="8"/>
  <c r="P34" i="8" s="1"/>
  <c r="P25" i="8"/>
  <c r="P33" i="8" s="1"/>
  <c r="P27" i="8"/>
  <c r="P35" i="8" s="1"/>
  <c r="Z25" i="8"/>
  <c r="Z33" i="8" s="1"/>
  <c r="Z27" i="8"/>
  <c r="Z35" i="8" s="1"/>
  <c r="Z26" i="8"/>
  <c r="Z34" i="8" s="1"/>
  <c r="G27" i="8"/>
  <c r="G35" i="8" s="1"/>
  <c r="G26" i="8"/>
  <c r="G34" i="8" s="1"/>
  <c r="G25" i="8"/>
  <c r="G33" i="8" s="1"/>
  <c r="AA25" i="8"/>
  <c r="AA33" i="8" s="1"/>
  <c r="AA26" i="8"/>
  <c r="AA34" i="8" s="1"/>
  <c r="AA27" i="8"/>
  <c r="AA35" i="8" s="1"/>
  <c r="R27" i="8"/>
  <c r="R35" i="8" s="1"/>
  <c r="R26" i="8"/>
  <c r="R34" i="8" s="1"/>
  <c r="R25" i="8"/>
  <c r="R33" i="8" s="1"/>
  <c r="X26" i="8"/>
  <c r="X34" i="8" s="1"/>
  <c r="X27" i="8"/>
  <c r="X35" i="8" s="1"/>
  <c r="X25" i="8"/>
  <c r="X33" i="8" s="1"/>
  <c r="X36" i="8" s="1"/>
  <c r="U25" i="8"/>
  <c r="U33" i="8" s="1"/>
  <c r="U26" i="8"/>
  <c r="U34" i="8" s="1"/>
  <c r="U27" i="8"/>
  <c r="U35" i="8" s="1"/>
  <c r="F26" i="8"/>
  <c r="F34" i="8" s="1"/>
  <c r="F25" i="8"/>
  <c r="F33" i="8" s="1"/>
  <c r="F27" i="8"/>
  <c r="F35" i="8" s="1"/>
  <c r="Y26" i="8"/>
  <c r="Y34" i="8" s="1"/>
  <c r="Y27" i="8"/>
  <c r="Y35" i="8" s="1"/>
  <c r="Y25" i="8"/>
  <c r="Y33" i="8" s="1"/>
  <c r="O27" i="8"/>
  <c r="O35" i="8" s="1"/>
  <c r="O26" i="8"/>
  <c r="O34" i="8" s="1"/>
  <c r="O25" i="8"/>
  <c r="O33" i="8" s="1"/>
  <c r="K25" i="8"/>
  <c r="K33" i="8" s="1"/>
  <c r="K27" i="8"/>
  <c r="K35" i="8" s="1"/>
  <c r="K26" i="8"/>
  <c r="K34" i="8" s="1"/>
  <c r="V25" i="8"/>
  <c r="V33" i="8" s="1"/>
  <c r="V26" i="8"/>
  <c r="V34" i="8" s="1"/>
  <c r="V27" i="8"/>
  <c r="V35" i="8" s="1"/>
  <c r="N27" i="8"/>
  <c r="N35" i="8" s="1"/>
  <c r="N26" i="8"/>
  <c r="N34" i="8" s="1"/>
  <c r="N25" i="8"/>
  <c r="N33" i="8" s="1"/>
  <c r="I2" i="8"/>
  <c r="W36" i="8" l="1"/>
  <c r="L36" i="8"/>
  <c r="L45" i="8" s="1"/>
  <c r="L47" i="8" s="1"/>
  <c r="L18" i="14" s="1"/>
  <c r="M36" i="8"/>
  <c r="J36" i="8"/>
  <c r="J45" i="8" s="1"/>
  <c r="J47" i="8" s="1"/>
  <c r="J18" i="14" s="1"/>
  <c r="Z36" i="8"/>
  <c r="Z51" i="8" s="1"/>
  <c r="P36" i="8"/>
  <c r="P45" i="8" s="1"/>
  <c r="P47" i="8" s="1"/>
  <c r="P18" i="14" s="1"/>
  <c r="Q36" i="8"/>
  <c r="Q45" i="8" s="1"/>
  <c r="Q47" i="8" s="1"/>
  <c r="Q18" i="14" s="1"/>
  <c r="Q8" i="16" s="1"/>
  <c r="Q14" i="15" s="1"/>
  <c r="W51" i="8"/>
  <c r="W45" i="8"/>
  <c r="W47" i="8" s="1"/>
  <c r="W18" i="14" s="1"/>
  <c r="Y36" i="8"/>
  <c r="U36" i="8"/>
  <c r="S36" i="8"/>
  <c r="T45" i="8"/>
  <c r="T47" i="8" s="1"/>
  <c r="T18" i="14" s="1"/>
  <c r="T51" i="8"/>
  <c r="AA36" i="8"/>
  <c r="H51" i="8"/>
  <c r="H45" i="8"/>
  <c r="H47" i="8" s="1"/>
  <c r="H18" i="14" s="1"/>
  <c r="G36" i="8"/>
  <c r="M45" i="8"/>
  <c r="M47" i="8" s="1"/>
  <c r="M18" i="14" s="1"/>
  <c r="M51" i="8"/>
  <c r="I36" i="8"/>
  <c r="V36" i="8"/>
  <c r="N36" i="8"/>
  <c r="K36" i="8"/>
  <c r="F36" i="8"/>
  <c r="R36" i="8"/>
  <c r="X51" i="8"/>
  <c r="X45" i="8"/>
  <c r="X47" i="8" s="1"/>
  <c r="X18" i="14" s="1"/>
  <c r="O36" i="8"/>
  <c r="J2" i="8"/>
  <c r="L51" i="8" l="1"/>
  <c r="M8" i="16"/>
  <c r="M14" i="15" s="1"/>
  <c r="P51" i="8"/>
  <c r="Q51" i="8"/>
  <c r="Z45" i="8"/>
  <c r="Z47" i="8" s="1"/>
  <c r="Z18" i="14" s="1"/>
  <c r="X8" i="16"/>
  <c r="X14" i="15" s="1"/>
  <c r="J51" i="8"/>
  <c r="AA51" i="8"/>
  <c r="AA45" i="8"/>
  <c r="AA47" i="8" s="1"/>
  <c r="AA18" i="14" s="1"/>
  <c r="AA8" i="16" s="1"/>
  <c r="AA14" i="15" s="1"/>
  <c r="U45" i="8"/>
  <c r="U47" i="8" s="1"/>
  <c r="U18" i="14" s="1"/>
  <c r="U8" i="16" s="1"/>
  <c r="U14" i="15" s="1"/>
  <c r="U51" i="8"/>
  <c r="Y45" i="8"/>
  <c r="Y47" i="8" s="1"/>
  <c r="Y18" i="14" s="1"/>
  <c r="Y8" i="16" s="1"/>
  <c r="Y14" i="15" s="1"/>
  <c r="Y51" i="8"/>
  <c r="N45" i="8"/>
  <c r="N47" i="8" s="1"/>
  <c r="N18" i="14" s="1"/>
  <c r="N8" i="16" s="1"/>
  <c r="N14" i="15" s="1"/>
  <c r="N51" i="8"/>
  <c r="I51" i="8"/>
  <c r="I45" i="8"/>
  <c r="I47" i="8" s="1"/>
  <c r="I18" i="14" s="1"/>
  <c r="I8" i="16" s="1"/>
  <c r="I14" i="15" s="1"/>
  <c r="V45" i="8"/>
  <c r="V47" i="8" s="1"/>
  <c r="V18" i="14" s="1"/>
  <c r="W8" i="16" s="1"/>
  <c r="W14" i="15" s="1"/>
  <c r="V51" i="8"/>
  <c r="S51" i="8"/>
  <c r="S45" i="8"/>
  <c r="S47" i="8" s="1"/>
  <c r="S18" i="14" s="1"/>
  <c r="T8" i="16" s="1"/>
  <c r="T14" i="15" s="1"/>
  <c r="O51" i="8"/>
  <c r="O45" i="8"/>
  <c r="O47" i="8" s="1"/>
  <c r="O18" i="14" s="1"/>
  <c r="R45" i="8"/>
  <c r="R47" i="8" s="1"/>
  <c r="R18" i="14" s="1"/>
  <c r="R8" i="16" s="1"/>
  <c r="R14" i="15" s="1"/>
  <c r="R51" i="8"/>
  <c r="F51" i="8"/>
  <c r="F45" i="8"/>
  <c r="F47" i="8" s="1"/>
  <c r="F18" i="14" s="1"/>
  <c r="F8" i="16" s="1"/>
  <c r="F14" i="15" s="1"/>
  <c r="K51" i="8"/>
  <c r="K45" i="8"/>
  <c r="K47" i="8" s="1"/>
  <c r="K18" i="14" s="1"/>
  <c r="K8" i="16" s="1"/>
  <c r="K14" i="15" s="1"/>
  <c r="G51" i="8"/>
  <c r="G45" i="8"/>
  <c r="G47" i="8" s="1"/>
  <c r="G18" i="14" s="1"/>
  <c r="K2" i="8"/>
  <c r="O8" i="16" l="1"/>
  <c r="O14" i="15" s="1"/>
  <c r="G8" i="16"/>
  <c r="G14" i="15" s="1"/>
  <c r="J8" i="16"/>
  <c r="J14" i="15" s="1"/>
  <c r="S8" i="16"/>
  <c r="S14" i="15" s="1"/>
  <c r="L8" i="16"/>
  <c r="L14" i="15" s="1"/>
  <c r="Z8" i="16"/>
  <c r="Z14" i="15" s="1"/>
  <c r="H8" i="16"/>
  <c r="H14" i="15" s="1"/>
  <c r="V8" i="16"/>
  <c r="V14" i="15" s="1"/>
  <c r="P8" i="16"/>
  <c r="P14" i="15" s="1"/>
  <c r="L2" i="8"/>
  <c r="M2" i="8" l="1"/>
  <c r="N2" i="8" l="1"/>
  <c r="O2" i="8" l="1"/>
  <c r="P2" i="8" l="1"/>
  <c r="C50" i="2"/>
  <c r="B51" i="2"/>
  <c r="C48" i="2"/>
  <c r="B36" i="2"/>
  <c r="B35" i="2"/>
  <c r="Q2" i="8" l="1"/>
  <c r="D29" i="2"/>
  <c r="D27" i="8" s="1"/>
  <c r="B3" i="2"/>
  <c r="D59" i="2"/>
  <c r="D46" i="11" s="1"/>
  <c r="D75" i="2"/>
  <c r="D73" i="10" s="1"/>
  <c r="D73" i="2"/>
  <c r="D50" i="2"/>
  <c r="D37" i="10" s="1"/>
  <c r="A2" i="6"/>
  <c r="A7" i="1"/>
  <c r="G13" i="10" l="1"/>
  <c r="F13" i="10"/>
  <c r="K13" i="10"/>
  <c r="H13" i="10"/>
  <c r="I13" i="10"/>
  <c r="J13" i="10"/>
  <c r="D72" i="10"/>
  <c r="D77" i="2"/>
  <c r="R2" i="8"/>
  <c r="A1" i="6"/>
  <c r="S2" i="8" l="1"/>
  <c r="T2" i="8" l="1"/>
  <c r="U2" i="8" l="1"/>
  <c r="V2" i="8" l="1"/>
  <c r="W2" i="8" l="1"/>
  <c r="X2" i="8" l="1"/>
  <c r="Y2" i="8" l="1"/>
  <c r="Z2" i="8" l="1"/>
  <c r="AA2" i="8" l="1"/>
  <c r="H15" i="10" l="1"/>
  <c r="I15" i="10"/>
  <c r="J15" i="10"/>
  <c r="K15" i="10"/>
  <c r="D94" i="2" l="1"/>
  <c r="F97" i="2"/>
  <c r="G97" i="2"/>
  <c r="H97" i="2"/>
  <c r="I97" i="2"/>
  <c r="J97" i="2"/>
  <c r="K97" i="2"/>
  <c r="L97" i="2"/>
  <c r="M97" i="2"/>
  <c r="N97" i="2"/>
  <c r="O97" i="2"/>
  <c r="P97" i="2"/>
  <c r="Q97" i="2"/>
  <c r="R97" i="2"/>
  <c r="S97" i="2"/>
  <c r="T97" i="2"/>
  <c r="U97" i="2"/>
  <c r="V97" i="2"/>
  <c r="W97" i="2"/>
  <c r="X97" i="2"/>
  <c r="Y97" i="2"/>
  <c r="Z97" i="2"/>
  <c r="AA97" i="2"/>
  <c r="AB97" i="2"/>
  <c r="F98" i="2"/>
  <c r="G98" i="2"/>
  <c r="H98" i="2"/>
  <c r="I98" i="2"/>
  <c r="J98" i="2"/>
  <c r="K98" i="2"/>
  <c r="L98" i="2"/>
  <c r="M98" i="2"/>
  <c r="N98" i="2"/>
  <c r="O98" i="2"/>
  <c r="P98" i="2"/>
  <c r="Q98" i="2"/>
  <c r="R98" i="2"/>
  <c r="S98" i="2"/>
  <c r="T98" i="2"/>
  <c r="U98" i="2"/>
  <c r="V98" i="2"/>
  <c r="W98" i="2"/>
  <c r="X98" i="2"/>
  <c r="Y98" i="2"/>
  <c r="Z98" i="2"/>
  <c r="AA98" i="2"/>
  <c r="AB98" i="2"/>
  <c r="F99" i="2"/>
  <c r="G99" i="2"/>
  <c r="H99" i="2"/>
  <c r="I99" i="2"/>
  <c r="J99" i="2"/>
  <c r="K99" i="2"/>
  <c r="L99" i="2"/>
  <c r="M99" i="2"/>
  <c r="N99" i="2"/>
  <c r="O99" i="2"/>
  <c r="P99" i="2"/>
  <c r="Q99" i="2"/>
  <c r="R99" i="2"/>
  <c r="S99" i="2"/>
  <c r="T99" i="2"/>
  <c r="U99" i="2"/>
  <c r="V99" i="2"/>
  <c r="W99" i="2"/>
  <c r="X99" i="2"/>
  <c r="Y99" i="2"/>
  <c r="Z99" i="2"/>
  <c r="AA99" i="2"/>
  <c r="AB99" i="2"/>
  <c r="D101" i="2"/>
  <c r="H106" i="2"/>
  <c r="H114" i="2"/>
  <c r="G6" i="14"/>
  <c r="H6" i="14"/>
  <c r="I6" i="14"/>
  <c r="J6" i="14"/>
  <c r="K6" i="14"/>
  <c r="L6" i="14"/>
  <c r="M6" i="14"/>
  <c r="N6" i="14"/>
  <c r="O6" i="14"/>
  <c r="P6" i="14"/>
  <c r="Q6" i="14"/>
  <c r="R6" i="14"/>
  <c r="S6" i="14"/>
  <c r="T6" i="14"/>
  <c r="U6" i="14"/>
  <c r="V6" i="14"/>
  <c r="W6" i="14"/>
  <c r="X6" i="14"/>
  <c r="Y6" i="14"/>
  <c r="Z6" i="14"/>
  <c r="AA6" i="14"/>
  <c r="F7" i="14"/>
  <c r="G7" i="14"/>
  <c r="H7" i="14"/>
  <c r="I7" i="14"/>
  <c r="J7" i="14"/>
  <c r="K7" i="14"/>
  <c r="L7" i="14"/>
  <c r="M7" i="14"/>
  <c r="N7" i="14"/>
  <c r="O7" i="14"/>
  <c r="P7" i="14"/>
  <c r="Q7" i="14"/>
  <c r="R7" i="14"/>
  <c r="S7" i="14"/>
  <c r="T7" i="14"/>
  <c r="U7" i="14"/>
  <c r="V7" i="14"/>
  <c r="W7" i="14"/>
  <c r="X7" i="14"/>
  <c r="Y7" i="14"/>
  <c r="Z7" i="14"/>
  <c r="AA7" i="14"/>
  <c r="F8" i="14"/>
  <c r="G8" i="14"/>
  <c r="H8" i="14"/>
  <c r="I8" i="14"/>
  <c r="J8" i="14"/>
  <c r="K8" i="14"/>
  <c r="L8" i="14"/>
  <c r="M8" i="14"/>
  <c r="N8" i="14"/>
  <c r="O8" i="14"/>
  <c r="P8" i="14"/>
  <c r="Q8" i="14"/>
  <c r="R8" i="14"/>
  <c r="S8" i="14"/>
  <c r="T8" i="14"/>
  <c r="U8" i="14"/>
  <c r="V8" i="14"/>
  <c r="W8" i="14"/>
  <c r="X8" i="14"/>
  <c r="Y8" i="14"/>
  <c r="Z8" i="14"/>
  <c r="AA8" i="14"/>
  <c r="F9" i="14"/>
  <c r="G9" i="14"/>
  <c r="H9" i="14"/>
  <c r="I9" i="14"/>
  <c r="J9" i="14"/>
  <c r="K9" i="14"/>
  <c r="L9" i="14"/>
  <c r="M9" i="14"/>
  <c r="N9" i="14"/>
  <c r="O9" i="14"/>
  <c r="P9" i="14"/>
  <c r="Q9" i="14"/>
  <c r="R9" i="14"/>
  <c r="S9" i="14"/>
  <c r="T9" i="14"/>
  <c r="U9" i="14"/>
  <c r="V9" i="14"/>
  <c r="W9" i="14"/>
  <c r="X9" i="14"/>
  <c r="Y9" i="14"/>
  <c r="Z9" i="14"/>
  <c r="AA9" i="14"/>
  <c r="F12" i="14"/>
  <c r="G12" i="14"/>
  <c r="H12" i="14"/>
  <c r="I12" i="14"/>
  <c r="J12" i="14"/>
  <c r="K12" i="14"/>
  <c r="L12" i="14"/>
  <c r="M12" i="14"/>
  <c r="N12" i="14"/>
  <c r="O12" i="14"/>
  <c r="P12" i="14"/>
  <c r="Q12" i="14"/>
  <c r="R12" i="14"/>
  <c r="S12" i="14"/>
  <c r="T12" i="14"/>
  <c r="U12" i="14"/>
  <c r="V12" i="14"/>
  <c r="W12" i="14"/>
  <c r="X12" i="14"/>
  <c r="Y12" i="14"/>
  <c r="Z12" i="14"/>
  <c r="AA12" i="14"/>
  <c r="F13" i="14"/>
  <c r="G13" i="14"/>
  <c r="H13" i="14"/>
  <c r="I13" i="14"/>
  <c r="J13" i="14"/>
  <c r="K13" i="14"/>
  <c r="L13" i="14"/>
  <c r="M13" i="14"/>
  <c r="N13" i="14"/>
  <c r="O13" i="14"/>
  <c r="P13" i="14"/>
  <c r="Q13" i="14"/>
  <c r="R13" i="14"/>
  <c r="S13" i="14"/>
  <c r="T13" i="14"/>
  <c r="U13" i="14"/>
  <c r="V13" i="14"/>
  <c r="W13" i="14"/>
  <c r="X13" i="14"/>
  <c r="Y13" i="14"/>
  <c r="Z13" i="14"/>
  <c r="AA13" i="14"/>
  <c r="F14" i="14"/>
  <c r="G14" i="14"/>
  <c r="H14" i="14"/>
  <c r="I14" i="14"/>
  <c r="J14" i="14"/>
  <c r="K14" i="14"/>
  <c r="L14" i="14"/>
  <c r="M14" i="14"/>
  <c r="N14" i="14"/>
  <c r="O14" i="14"/>
  <c r="P14" i="14"/>
  <c r="Q14" i="14"/>
  <c r="R14" i="14"/>
  <c r="S14" i="14"/>
  <c r="T14" i="14"/>
  <c r="U14" i="14"/>
  <c r="V14" i="14"/>
  <c r="W14" i="14"/>
  <c r="X14" i="14"/>
  <c r="Y14" i="14"/>
  <c r="Z14" i="14"/>
  <c r="AA14" i="14"/>
  <c r="F15" i="14"/>
  <c r="G15" i="14"/>
  <c r="H15" i="14"/>
  <c r="I15" i="14"/>
  <c r="J15" i="14"/>
  <c r="K15" i="14"/>
  <c r="L15" i="14"/>
  <c r="M15" i="14"/>
  <c r="N15" i="14"/>
  <c r="O15" i="14"/>
  <c r="P15" i="14"/>
  <c r="Q15" i="14"/>
  <c r="R15" i="14"/>
  <c r="S15" i="14"/>
  <c r="T15" i="14"/>
  <c r="U15" i="14"/>
  <c r="V15" i="14"/>
  <c r="W15" i="14"/>
  <c r="X15" i="14"/>
  <c r="Y15" i="14"/>
  <c r="Z15" i="14"/>
  <c r="AA15" i="14"/>
  <c r="F17" i="14"/>
  <c r="G17" i="14"/>
  <c r="H17" i="14"/>
  <c r="I17" i="14"/>
  <c r="J17" i="14"/>
  <c r="K17" i="14"/>
  <c r="L17" i="14"/>
  <c r="M17" i="14"/>
  <c r="N17" i="14"/>
  <c r="O17" i="14"/>
  <c r="P17" i="14"/>
  <c r="Q17" i="14"/>
  <c r="R17" i="14"/>
  <c r="S17" i="14"/>
  <c r="T17" i="14"/>
  <c r="U17" i="14"/>
  <c r="V17" i="14"/>
  <c r="W17" i="14"/>
  <c r="X17" i="14"/>
  <c r="Y17" i="14"/>
  <c r="Z17" i="14"/>
  <c r="AA17" i="14"/>
  <c r="F19" i="14"/>
  <c r="G19" i="14"/>
  <c r="H19" i="14"/>
  <c r="I19" i="14"/>
  <c r="J19" i="14"/>
  <c r="K19" i="14"/>
  <c r="L19" i="14"/>
  <c r="M19" i="14"/>
  <c r="N19" i="14"/>
  <c r="O19" i="14"/>
  <c r="P19" i="14"/>
  <c r="Q19" i="14"/>
  <c r="R19" i="14"/>
  <c r="S19" i="14"/>
  <c r="T19" i="14"/>
  <c r="U19" i="14"/>
  <c r="V19" i="14"/>
  <c r="W19" i="14"/>
  <c r="X19" i="14"/>
  <c r="Y19" i="14"/>
  <c r="Z19" i="14"/>
  <c r="AA19" i="14"/>
  <c r="F20" i="14"/>
  <c r="G20" i="14"/>
  <c r="H20" i="14"/>
  <c r="I20" i="14"/>
  <c r="J20" i="14"/>
  <c r="K20" i="14"/>
  <c r="L20" i="14"/>
  <c r="M20" i="14"/>
  <c r="N20" i="14"/>
  <c r="O20" i="14"/>
  <c r="P20" i="14"/>
  <c r="Q20" i="14"/>
  <c r="R20" i="14"/>
  <c r="S20" i="14"/>
  <c r="T20" i="14"/>
  <c r="U20" i="14"/>
  <c r="V20" i="14"/>
  <c r="W20" i="14"/>
  <c r="X20" i="14"/>
  <c r="Y20" i="14"/>
  <c r="Z20" i="14"/>
  <c r="AA20" i="14"/>
  <c r="F21" i="14"/>
  <c r="G21" i="14"/>
  <c r="H21" i="14"/>
  <c r="I21" i="14"/>
  <c r="J21" i="14"/>
  <c r="K21" i="14"/>
  <c r="L21" i="14"/>
  <c r="M21" i="14"/>
  <c r="N21" i="14"/>
  <c r="O21" i="14"/>
  <c r="P21" i="14"/>
  <c r="Q21" i="14"/>
  <c r="R21" i="14"/>
  <c r="S21" i="14"/>
  <c r="T21" i="14"/>
  <c r="U21" i="14"/>
  <c r="V21" i="14"/>
  <c r="W21" i="14"/>
  <c r="X21" i="14"/>
  <c r="Y21" i="14"/>
  <c r="Z21" i="14"/>
  <c r="AA21" i="14"/>
  <c r="F23" i="14"/>
  <c r="G23" i="14"/>
  <c r="H23" i="14"/>
  <c r="I23" i="14"/>
  <c r="J23" i="14"/>
  <c r="K23" i="14"/>
  <c r="L23" i="14"/>
  <c r="M23" i="14"/>
  <c r="N23" i="14"/>
  <c r="O23" i="14"/>
  <c r="P23" i="14"/>
  <c r="Q23" i="14"/>
  <c r="R23" i="14"/>
  <c r="S23" i="14"/>
  <c r="T23" i="14"/>
  <c r="U23" i="14"/>
  <c r="V23" i="14"/>
  <c r="W23" i="14"/>
  <c r="X23" i="14"/>
  <c r="Y23" i="14"/>
  <c r="Z23" i="14"/>
  <c r="AA23" i="14"/>
  <c r="F24" i="14"/>
  <c r="G24" i="14"/>
  <c r="H24" i="14"/>
  <c r="I24" i="14"/>
  <c r="J24" i="14"/>
  <c r="K24" i="14"/>
  <c r="L24" i="14"/>
  <c r="M24" i="14"/>
  <c r="N24" i="14"/>
  <c r="O24" i="14"/>
  <c r="P24" i="14"/>
  <c r="Q24" i="14"/>
  <c r="R24" i="14"/>
  <c r="S24" i="14"/>
  <c r="T24" i="14"/>
  <c r="U24" i="14"/>
  <c r="V24" i="14"/>
  <c r="W24" i="14"/>
  <c r="X24" i="14"/>
  <c r="Y24" i="14"/>
  <c r="Z24" i="14"/>
  <c r="AA24" i="14"/>
  <c r="F25" i="14"/>
  <c r="G25" i="14"/>
  <c r="H25" i="14"/>
  <c r="I25" i="14"/>
  <c r="J25" i="14"/>
  <c r="K25" i="14"/>
  <c r="L25" i="14"/>
  <c r="M25" i="14"/>
  <c r="N25" i="14"/>
  <c r="O25" i="14"/>
  <c r="P25" i="14"/>
  <c r="Q25" i="14"/>
  <c r="R25" i="14"/>
  <c r="S25" i="14"/>
  <c r="T25" i="14"/>
  <c r="U25" i="14"/>
  <c r="V25" i="14"/>
  <c r="W25" i="14"/>
  <c r="X25" i="14"/>
  <c r="Y25" i="14"/>
  <c r="Z25" i="14"/>
  <c r="AA25" i="14"/>
  <c r="F27" i="14"/>
  <c r="G27" i="14"/>
  <c r="H27" i="14"/>
  <c r="I27" i="14"/>
  <c r="J27" i="14"/>
  <c r="K27" i="14"/>
  <c r="L27" i="14"/>
  <c r="M27" i="14"/>
  <c r="N27" i="14"/>
  <c r="O27" i="14"/>
  <c r="P27" i="14"/>
  <c r="Q27" i="14"/>
  <c r="R27" i="14"/>
  <c r="S27" i="14"/>
  <c r="T27" i="14"/>
  <c r="U27" i="14"/>
  <c r="V27" i="14"/>
  <c r="W27" i="14"/>
  <c r="X27" i="14"/>
  <c r="Y27" i="14"/>
  <c r="Z27" i="14"/>
  <c r="AA27" i="14"/>
  <c r="F5" i="16"/>
  <c r="G5" i="16"/>
  <c r="H5" i="16"/>
  <c r="I5" i="16"/>
  <c r="J5" i="16"/>
  <c r="K5" i="16"/>
  <c r="L5" i="16"/>
  <c r="M5" i="16"/>
  <c r="N5" i="16"/>
  <c r="O5" i="16"/>
  <c r="P5" i="16"/>
  <c r="Q5" i="16"/>
  <c r="R5" i="16"/>
  <c r="S5" i="16"/>
  <c r="T5" i="16"/>
  <c r="U5" i="16"/>
  <c r="V5" i="16"/>
  <c r="W5" i="16"/>
  <c r="X5" i="16"/>
  <c r="Y5" i="16"/>
  <c r="Z5" i="16"/>
  <c r="AA5" i="16"/>
  <c r="F6" i="16"/>
  <c r="G6" i="16"/>
  <c r="H6" i="16"/>
  <c r="I6" i="16"/>
  <c r="J6" i="16"/>
  <c r="K6" i="16"/>
  <c r="L6" i="16"/>
  <c r="M6" i="16"/>
  <c r="N6" i="16"/>
  <c r="O6" i="16"/>
  <c r="P6" i="16"/>
  <c r="Q6" i="16"/>
  <c r="R6" i="16"/>
  <c r="S6" i="16"/>
  <c r="T6" i="16"/>
  <c r="U6" i="16"/>
  <c r="V6" i="16"/>
  <c r="W6" i="16"/>
  <c r="X6" i="16"/>
  <c r="Y6" i="16"/>
  <c r="Z6" i="16"/>
  <c r="AA6" i="16"/>
  <c r="F7" i="16"/>
  <c r="G7" i="16"/>
  <c r="H7" i="16"/>
  <c r="I7" i="16"/>
  <c r="J7" i="16"/>
  <c r="K7" i="16"/>
  <c r="L7" i="16"/>
  <c r="M7" i="16"/>
  <c r="N7" i="16"/>
  <c r="O7" i="16"/>
  <c r="P7" i="16"/>
  <c r="Q7" i="16"/>
  <c r="R7" i="16"/>
  <c r="S7" i="16"/>
  <c r="T7" i="16"/>
  <c r="U7" i="16"/>
  <c r="V7" i="16"/>
  <c r="W7" i="16"/>
  <c r="X7" i="16"/>
  <c r="Y7" i="16"/>
  <c r="Z7" i="16"/>
  <c r="AA7" i="16"/>
  <c r="F9" i="16"/>
  <c r="G9" i="16"/>
  <c r="H9" i="16"/>
  <c r="I9" i="16"/>
  <c r="J9" i="16"/>
  <c r="K9" i="16"/>
  <c r="L9" i="16"/>
  <c r="M9" i="16"/>
  <c r="N9" i="16"/>
  <c r="O9" i="16"/>
  <c r="P9" i="16"/>
  <c r="Q9" i="16"/>
  <c r="R9" i="16"/>
  <c r="S9" i="16"/>
  <c r="T9" i="16"/>
  <c r="U9" i="16"/>
  <c r="V9" i="16"/>
  <c r="W9" i="16"/>
  <c r="X9" i="16"/>
  <c r="Y9" i="16"/>
  <c r="Z9" i="16"/>
  <c r="AA9" i="16"/>
  <c r="F10" i="16"/>
  <c r="G10" i="16"/>
  <c r="H10" i="16"/>
  <c r="I10" i="16"/>
  <c r="J10" i="16"/>
  <c r="K10" i="16"/>
  <c r="L10" i="16"/>
  <c r="M10" i="16"/>
  <c r="N10" i="16"/>
  <c r="O10" i="16"/>
  <c r="P10" i="16"/>
  <c r="Q10" i="16"/>
  <c r="R10" i="16"/>
  <c r="S10" i="16"/>
  <c r="T10" i="16"/>
  <c r="U10" i="16"/>
  <c r="V10" i="16"/>
  <c r="W10" i="16"/>
  <c r="X10" i="16"/>
  <c r="Y10" i="16"/>
  <c r="Z10" i="16"/>
  <c r="AA10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R12" i="16"/>
  <c r="S12" i="16"/>
  <c r="T12" i="16"/>
  <c r="U12" i="16"/>
  <c r="V12" i="16"/>
  <c r="W12" i="16"/>
  <c r="X12" i="16"/>
  <c r="Y12" i="16"/>
  <c r="Z12" i="16"/>
  <c r="AA12" i="16"/>
  <c r="F13" i="16"/>
  <c r="G13" i="16"/>
  <c r="H13" i="16"/>
  <c r="I13" i="16"/>
  <c r="J13" i="16"/>
  <c r="K13" i="16"/>
  <c r="L13" i="16"/>
  <c r="M13" i="16"/>
  <c r="N13" i="16"/>
  <c r="O13" i="16"/>
  <c r="P13" i="16"/>
  <c r="Q13" i="16"/>
  <c r="R13" i="16"/>
  <c r="S13" i="16"/>
  <c r="T13" i="16"/>
  <c r="U13" i="16"/>
  <c r="V13" i="16"/>
  <c r="W13" i="16"/>
  <c r="X13" i="16"/>
  <c r="Y13" i="16"/>
  <c r="Z13" i="16"/>
  <c r="AA13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S15" i="16"/>
  <c r="T15" i="16"/>
  <c r="U15" i="16"/>
  <c r="V15" i="16"/>
  <c r="W15" i="16"/>
  <c r="X15" i="16"/>
  <c r="Y15" i="16"/>
  <c r="Z15" i="16"/>
  <c r="AA15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R16" i="16"/>
  <c r="S16" i="16"/>
  <c r="T16" i="16"/>
  <c r="U16" i="16"/>
  <c r="V16" i="16"/>
  <c r="W16" i="16"/>
  <c r="X16" i="16"/>
  <c r="Y16" i="16"/>
  <c r="Z16" i="16"/>
  <c r="AA16" i="16"/>
  <c r="F17" i="16"/>
  <c r="G17" i="16"/>
  <c r="H17" i="16"/>
  <c r="I17" i="16"/>
  <c r="J17" i="16"/>
  <c r="K17" i="16"/>
  <c r="L17" i="16"/>
  <c r="M17" i="16"/>
  <c r="N17" i="16"/>
  <c r="O17" i="16"/>
  <c r="P17" i="16"/>
  <c r="Q17" i="16"/>
  <c r="R17" i="16"/>
  <c r="S17" i="16"/>
  <c r="T17" i="16"/>
  <c r="U17" i="16"/>
  <c r="V17" i="16"/>
  <c r="W17" i="16"/>
  <c r="X17" i="16"/>
  <c r="Y17" i="16"/>
  <c r="Z17" i="16"/>
  <c r="AA17" i="16"/>
  <c r="F18" i="16"/>
  <c r="G18" i="16"/>
  <c r="H18" i="16"/>
  <c r="I18" i="16"/>
  <c r="J18" i="16"/>
  <c r="K18" i="16"/>
  <c r="L18" i="16"/>
  <c r="M18" i="16"/>
  <c r="N18" i="16"/>
  <c r="O18" i="16"/>
  <c r="P18" i="16"/>
  <c r="Q18" i="16"/>
  <c r="R18" i="16"/>
  <c r="S18" i="16"/>
  <c r="T18" i="16"/>
  <c r="U18" i="16"/>
  <c r="V18" i="16"/>
  <c r="W18" i="16"/>
  <c r="X18" i="16"/>
  <c r="Y18" i="16"/>
  <c r="Z18" i="16"/>
  <c r="AA18" i="16"/>
  <c r="F19" i="16"/>
  <c r="G19" i="16"/>
  <c r="H19" i="16"/>
  <c r="I19" i="16"/>
  <c r="J19" i="16"/>
  <c r="K19" i="16"/>
  <c r="L19" i="16"/>
  <c r="M19" i="16"/>
  <c r="N19" i="16"/>
  <c r="O19" i="16"/>
  <c r="P19" i="16"/>
  <c r="Q19" i="16"/>
  <c r="R19" i="16"/>
  <c r="S19" i="16"/>
  <c r="T19" i="16"/>
  <c r="U19" i="16"/>
  <c r="V19" i="16"/>
  <c r="W19" i="16"/>
  <c r="X19" i="16"/>
  <c r="Y19" i="16"/>
  <c r="Z19" i="16"/>
  <c r="AA19" i="16"/>
  <c r="G21" i="16"/>
  <c r="H21" i="16"/>
  <c r="I21" i="16"/>
  <c r="J21" i="16"/>
  <c r="K21" i="16"/>
  <c r="L21" i="16"/>
  <c r="M21" i="16"/>
  <c r="N21" i="16"/>
  <c r="O21" i="16"/>
  <c r="P21" i="16"/>
  <c r="Q21" i="16"/>
  <c r="R21" i="16"/>
  <c r="S21" i="16"/>
  <c r="T21" i="16"/>
  <c r="U21" i="16"/>
  <c r="V21" i="16"/>
  <c r="W21" i="16"/>
  <c r="X21" i="16"/>
  <c r="Y21" i="16"/>
  <c r="Z21" i="16"/>
  <c r="AA21" i="16"/>
  <c r="F22" i="16"/>
  <c r="G22" i="16"/>
  <c r="H22" i="16"/>
  <c r="I22" i="16"/>
  <c r="J22" i="16"/>
  <c r="K22" i="16"/>
  <c r="L22" i="16"/>
  <c r="M22" i="16"/>
  <c r="N22" i="16"/>
  <c r="O22" i="16"/>
  <c r="P22" i="16"/>
  <c r="Q22" i="16"/>
  <c r="R22" i="16"/>
  <c r="S22" i="16"/>
  <c r="T22" i="16"/>
  <c r="U22" i="16"/>
  <c r="V22" i="16"/>
  <c r="W22" i="16"/>
  <c r="X22" i="16"/>
  <c r="Y22" i="16"/>
  <c r="Z22" i="16"/>
  <c r="AA22" i="16"/>
  <c r="F23" i="16"/>
  <c r="G23" i="16"/>
  <c r="H23" i="16"/>
  <c r="I23" i="16"/>
  <c r="J23" i="16"/>
  <c r="K23" i="16"/>
  <c r="L23" i="16"/>
  <c r="M23" i="16"/>
  <c r="N23" i="16"/>
  <c r="O23" i="16"/>
  <c r="P23" i="16"/>
  <c r="Q23" i="16"/>
  <c r="R23" i="16"/>
  <c r="S23" i="16"/>
  <c r="T23" i="16"/>
  <c r="U23" i="16"/>
  <c r="V23" i="16"/>
  <c r="W23" i="16"/>
  <c r="X23" i="16"/>
  <c r="Y23" i="16"/>
  <c r="Z23" i="16"/>
  <c r="AA23" i="16"/>
  <c r="F11" i="15"/>
  <c r="G11" i="15"/>
  <c r="H11" i="15"/>
  <c r="I11" i="15"/>
  <c r="J11" i="15"/>
  <c r="K11" i="15"/>
  <c r="L11" i="15"/>
  <c r="M11" i="15"/>
  <c r="N11" i="15"/>
  <c r="O11" i="15"/>
  <c r="P11" i="15"/>
  <c r="Q11" i="15"/>
  <c r="R11" i="15"/>
  <c r="S11" i="15"/>
  <c r="T11" i="15"/>
  <c r="U11" i="15"/>
  <c r="V11" i="15"/>
  <c r="W11" i="15"/>
  <c r="X11" i="15"/>
  <c r="Y11" i="15"/>
  <c r="Z11" i="15"/>
  <c r="AA11" i="15"/>
  <c r="F12" i="15"/>
  <c r="G12" i="15"/>
  <c r="H12" i="15"/>
  <c r="I12" i="15"/>
  <c r="J12" i="15"/>
  <c r="K12" i="15"/>
  <c r="L12" i="15"/>
  <c r="M12" i="15"/>
  <c r="N12" i="15"/>
  <c r="O12" i="15"/>
  <c r="P12" i="15"/>
  <c r="Q12" i="15"/>
  <c r="R12" i="15"/>
  <c r="S12" i="15"/>
  <c r="T12" i="15"/>
  <c r="U12" i="15"/>
  <c r="V12" i="15"/>
  <c r="W12" i="15"/>
  <c r="X12" i="15"/>
  <c r="Y12" i="15"/>
  <c r="Z12" i="15"/>
  <c r="AA12" i="15"/>
  <c r="F13" i="15"/>
  <c r="G13" i="15"/>
  <c r="H13" i="15"/>
  <c r="I13" i="15"/>
  <c r="J13" i="15"/>
  <c r="K13" i="15"/>
  <c r="L13" i="15"/>
  <c r="M13" i="15"/>
  <c r="N13" i="15"/>
  <c r="O13" i="15"/>
  <c r="P13" i="15"/>
  <c r="Q13" i="15"/>
  <c r="R13" i="15"/>
  <c r="S13" i="15"/>
  <c r="T13" i="15"/>
  <c r="U13" i="15"/>
  <c r="V13" i="15"/>
  <c r="W13" i="15"/>
  <c r="X13" i="15"/>
  <c r="Y13" i="15"/>
  <c r="Z13" i="15"/>
  <c r="AA13" i="15"/>
  <c r="F15" i="15"/>
  <c r="G15" i="15"/>
  <c r="H15" i="15"/>
  <c r="I15" i="15"/>
  <c r="J15" i="15"/>
  <c r="K15" i="15"/>
  <c r="L15" i="15"/>
  <c r="M15" i="15"/>
  <c r="N15" i="15"/>
  <c r="O15" i="15"/>
  <c r="P15" i="15"/>
  <c r="Q15" i="15"/>
  <c r="R15" i="15"/>
  <c r="S15" i="15"/>
  <c r="T15" i="15"/>
  <c r="U15" i="15"/>
  <c r="V15" i="15"/>
  <c r="W15" i="15"/>
  <c r="X15" i="15"/>
  <c r="Y15" i="15"/>
  <c r="Z15" i="15"/>
  <c r="AA15" i="15"/>
  <c r="F16" i="15"/>
  <c r="G16" i="15"/>
  <c r="H16" i="15"/>
  <c r="I16" i="15"/>
  <c r="J16" i="15"/>
  <c r="K16" i="15"/>
  <c r="L16" i="15"/>
  <c r="M16" i="15"/>
  <c r="N16" i="15"/>
  <c r="O16" i="15"/>
  <c r="P16" i="15"/>
  <c r="Q16" i="15"/>
  <c r="R16" i="15"/>
  <c r="S16" i="15"/>
  <c r="T16" i="15"/>
  <c r="U16" i="15"/>
  <c r="V16" i="15"/>
  <c r="W16" i="15"/>
  <c r="X16" i="15"/>
  <c r="Y16" i="15"/>
  <c r="Z16" i="15"/>
  <c r="AA16" i="15"/>
  <c r="G18" i="15"/>
  <c r="H18" i="15"/>
  <c r="I18" i="15"/>
  <c r="J18" i="15"/>
  <c r="K18" i="15"/>
  <c r="L18" i="15"/>
  <c r="M18" i="15"/>
  <c r="N18" i="15"/>
  <c r="O18" i="15"/>
  <c r="P18" i="15"/>
  <c r="Q18" i="15"/>
  <c r="R18" i="15"/>
  <c r="S18" i="15"/>
  <c r="T18" i="15"/>
  <c r="U18" i="15"/>
  <c r="V18" i="15"/>
  <c r="W18" i="15"/>
  <c r="X18" i="15"/>
  <c r="Y18" i="15"/>
  <c r="Z18" i="15"/>
  <c r="AA18" i="15"/>
  <c r="F19" i="15"/>
  <c r="G19" i="15"/>
  <c r="H19" i="15"/>
  <c r="I19" i="15"/>
  <c r="J19" i="15"/>
  <c r="K19" i="15"/>
  <c r="L19" i="15"/>
  <c r="M19" i="15"/>
  <c r="N19" i="15"/>
  <c r="O19" i="15"/>
  <c r="P19" i="15"/>
  <c r="Q19" i="15"/>
  <c r="R19" i="15"/>
  <c r="S19" i="15"/>
  <c r="T19" i="15"/>
  <c r="U19" i="15"/>
  <c r="V19" i="15"/>
  <c r="W19" i="15"/>
  <c r="X19" i="15"/>
  <c r="Y19" i="15"/>
  <c r="Z19" i="15"/>
  <c r="AA19" i="15"/>
  <c r="G21" i="15"/>
  <c r="H21" i="15"/>
  <c r="I21" i="15"/>
  <c r="J21" i="15"/>
  <c r="K21" i="15"/>
  <c r="L21" i="15"/>
  <c r="M21" i="15"/>
  <c r="N21" i="15"/>
  <c r="O21" i="15"/>
  <c r="P21" i="15"/>
  <c r="Q21" i="15"/>
  <c r="R21" i="15"/>
  <c r="S21" i="15"/>
  <c r="T21" i="15"/>
  <c r="U21" i="15"/>
  <c r="V21" i="15"/>
  <c r="W21" i="15"/>
  <c r="X21" i="15"/>
  <c r="Y21" i="15"/>
  <c r="Z21" i="15"/>
  <c r="AA21" i="15"/>
  <c r="D22" i="15"/>
  <c r="F22" i="15"/>
  <c r="G22" i="15"/>
  <c r="H22" i="15"/>
  <c r="I22" i="15"/>
  <c r="J22" i="15"/>
  <c r="K22" i="15"/>
  <c r="L22" i="15"/>
  <c r="M22" i="15"/>
  <c r="N22" i="15"/>
  <c r="O22" i="15"/>
  <c r="P22" i="15"/>
  <c r="Q22" i="15"/>
  <c r="R22" i="15"/>
  <c r="S22" i="15"/>
  <c r="T22" i="15"/>
  <c r="U22" i="15"/>
  <c r="V22" i="15"/>
  <c r="W22" i="15"/>
  <c r="X22" i="15"/>
  <c r="Y22" i="15"/>
  <c r="Z22" i="15"/>
  <c r="AA22" i="15"/>
  <c r="F23" i="15"/>
  <c r="G23" i="15"/>
  <c r="H23" i="15"/>
  <c r="I23" i="15"/>
  <c r="J23" i="15"/>
  <c r="K23" i="15"/>
  <c r="L23" i="15"/>
  <c r="M23" i="15"/>
  <c r="N23" i="15"/>
  <c r="O23" i="15"/>
  <c r="P23" i="15"/>
  <c r="Q23" i="15"/>
  <c r="R23" i="15"/>
  <c r="S23" i="15"/>
  <c r="T23" i="15"/>
  <c r="U23" i="15"/>
  <c r="V23" i="15"/>
  <c r="W23" i="15"/>
  <c r="X23" i="15"/>
  <c r="Y23" i="15"/>
  <c r="Z23" i="15"/>
  <c r="AA23" i="15"/>
  <c r="F24" i="15"/>
  <c r="G24" i="15"/>
  <c r="H24" i="15"/>
  <c r="I24" i="15"/>
  <c r="J24" i="15"/>
  <c r="K24" i="15"/>
  <c r="L24" i="15"/>
  <c r="M24" i="15"/>
  <c r="N24" i="15"/>
  <c r="O24" i="15"/>
  <c r="P24" i="15"/>
  <c r="Q24" i="15"/>
  <c r="R24" i="15"/>
  <c r="S24" i="15"/>
  <c r="T24" i="15"/>
  <c r="U24" i="15"/>
  <c r="V24" i="15"/>
  <c r="W24" i="15"/>
  <c r="X24" i="15"/>
  <c r="Y24" i="15"/>
  <c r="Z24" i="15"/>
  <c r="AA24" i="15"/>
  <c r="F25" i="15"/>
  <c r="G25" i="15"/>
  <c r="H25" i="15"/>
  <c r="I25" i="15"/>
  <c r="J25" i="15"/>
  <c r="K25" i="15"/>
  <c r="L25" i="15"/>
  <c r="M25" i="15"/>
  <c r="N25" i="15"/>
  <c r="O25" i="15"/>
  <c r="P25" i="15"/>
  <c r="Q25" i="15"/>
  <c r="R25" i="15"/>
  <c r="S25" i="15"/>
  <c r="T25" i="15"/>
  <c r="U25" i="15"/>
  <c r="V25" i="15"/>
  <c r="W25" i="15"/>
  <c r="X25" i="15"/>
  <c r="Y25" i="15"/>
  <c r="Z25" i="15"/>
  <c r="AA25" i="15"/>
  <c r="F27" i="15"/>
  <c r="G27" i="15"/>
  <c r="H27" i="15"/>
  <c r="I27" i="15"/>
  <c r="J27" i="15"/>
  <c r="K27" i="15"/>
  <c r="L27" i="15"/>
  <c r="M27" i="15"/>
  <c r="N27" i="15"/>
  <c r="O27" i="15"/>
  <c r="P27" i="15"/>
  <c r="Q27" i="15"/>
  <c r="R27" i="15"/>
  <c r="S27" i="15"/>
  <c r="T27" i="15"/>
  <c r="U27" i="15"/>
  <c r="V27" i="15"/>
  <c r="W27" i="15"/>
  <c r="X27" i="15"/>
  <c r="Y27" i="15"/>
  <c r="Z27" i="15"/>
  <c r="AA27" i="15"/>
  <c r="G29" i="15"/>
  <c r="H29" i="15"/>
  <c r="I29" i="15"/>
  <c r="J29" i="15"/>
  <c r="K29" i="15"/>
  <c r="L29" i="15"/>
  <c r="M29" i="15"/>
  <c r="N29" i="15"/>
  <c r="O29" i="15"/>
  <c r="P29" i="15"/>
  <c r="Q29" i="15"/>
  <c r="R29" i="15"/>
  <c r="S29" i="15"/>
  <c r="T29" i="15"/>
  <c r="U29" i="15"/>
  <c r="V29" i="15"/>
  <c r="W29" i="15"/>
  <c r="X29" i="15"/>
  <c r="Y29" i="15"/>
  <c r="Z29" i="15"/>
  <c r="AA29" i="15"/>
  <c r="D30" i="15"/>
  <c r="F30" i="15"/>
  <c r="G30" i="15"/>
  <c r="H30" i="15"/>
  <c r="I30" i="15"/>
  <c r="J30" i="15"/>
  <c r="K30" i="15"/>
  <c r="L30" i="15"/>
  <c r="M30" i="15"/>
  <c r="N30" i="15"/>
  <c r="O30" i="15"/>
  <c r="P30" i="15"/>
  <c r="Q30" i="15"/>
  <c r="R30" i="15"/>
  <c r="S30" i="15"/>
  <c r="T30" i="15"/>
  <c r="U30" i="15"/>
  <c r="V30" i="15"/>
  <c r="W30" i="15"/>
  <c r="X30" i="15"/>
  <c r="Y30" i="15"/>
  <c r="Z30" i="15"/>
  <c r="AA30" i="15"/>
  <c r="F31" i="15"/>
  <c r="G31" i="15"/>
  <c r="H31" i="15"/>
  <c r="I31" i="15"/>
  <c r="J31" i="15"/>
  <c r="K31" i="15"/>
  <c r="L31" i="15"/>
  <c r="M31" i="15"/>
  <c r="N31" i="15"/>
  <c r="O31" i="15"/>
  <c r="P31" i="15"/>
  <c r="Q31" i="15"/>
  <c r="R31" i="15"/>
  <c r="S31" i="15"/>
  <c r="T31" i="15"/>
  <c r="U31" i="15"/>
  <c r="V31" i="15"/>
  <c r="W31" i="15"/>
  <c r="X31" i="15"/>
  <c r="Y31" i="15"/>
  <c r="Z31" i="15"/>
  <c r="AA31" i="15"/>
  <c r="F32" i="15"/>
  <c r="G32" i="15"/>
  <c r="H32" i="15"/>
  <c r="I32" i="15"/>
  <c r="J32" i="15"/>
  <c r="K32" i="15"/>
  <c r="L32" i="15"/>
  <c r="M32" i="15"/>
  <c r="N32" i="15"/>
  <c r="O32" i="15"/>
  <c r="P32" i="15"/>
  <c r="Q32" i="15"/>
  <c r="R32" i="15"/>
  <c r="S32" i="15"/>
  <c r="T32" i="15"/>
  <c r="U32" i="15"/>
  <c r="V32" i="15"/>
  <c r="W32" i="15"/>
  <c r="X32" i="15"/>
  <c r="Y32" i="15"/>
  <c r="Z32" i="15"/>
  <c r="AA32" i="15"/>
  <c r="F33" i="15"/>
  <c r="G33" i="15"/>
  <c r="H33" i="15"/>
  <c r="I33" i="15"/>
  <c r="J33" i="15"/>
  <c r="K33" i="15"/>
  <c r="L33" i="15"/>
  <c r="M33" i="15"/>
  <c r="N33" i="15"/>
  <c r="O33" i="15"/>
  <c r="P33" i="15"/>
  <c r="Q33" i="15"/>
  <c r="R33" i="15"/>
  <c r="S33" i="15"/>
  <c r="T33" i="15"/>
  <c r="U33" i="15"/>
  <c r="V33" i="15"/>
  <c r="W33" i="15"/>
  <c r="X33" i="15"/>
  <c r="Y33" i="15"/>
  <c r="Z33" i="15"/>
  <c r="AA33" i="15"/>
  <c r="F35" i="15"/>
  <c r="G35" i="15"/>
  <c r="H35" i="15"/>
  <c r="I35" i="15"/>
  <c r="J35" i="15"/>
  <c r="K35" i="15"/>
  <c r="L35" i="15"/>
  <c r="M35" i="15"/>
  <c r="N35" i="15"/>
  <c r="O35" i="15"/>
  <c r="P35" i="15"/>
  <c r="Q35" i="15"/>
  <c r="R35" i="15"/>
  <c r="S35" i="15"/>
  <c r="T35" i="15"/>
  <c r="U35" i="15"/>
  <c r="V35" i="15"/>
  <c r="W35" i="15"/>
  <c r="X35" i="15"/>
  <c r="Y35" i="15"/>
  <c r="Z35" i="15"/>
  <c r="AA35" i="15"/>
  <c r="F37" i="15"/>
  <c r="G37" i="15"/>
  <c r="H37" i="15"/>
  <c r="I37" i="15"/>
  <c r="J37" i="15"/>
  <c r="K37" i="15"/>
  <c r="L37" i="15"/>
  <c r="M37" i="15"/>
  <c r="N37" i="15"/>
  <c r="O37" i="15"/>
  <c r="P37" i="15"/>
  <c r="Q37" i="15"/>
  <c r="R37" i="15"/>
  <c r="S37" i="15"/>
  <c r="T37" i="15"/>
  <c r="U37" i="15"/>
  <c r="V37" i="15"/>
  <c r="W37" i="15"/>
  <c r="X37" i="15"/>
  <c r="Y37" i="15"/>
  <c r="Z37" i="15"/>
  <c r="AA37" i="15"/>
  <c r="F40" i="15"/>
  <c r="G40" i="15"/>
  <c r="H40" i="15"/>
  <c r="I40" i="15"/>
  <c r="J40" i="15"/>
  <c r="K40" i="15"/>
  <c r="L40" i="15"/>
  <c r="M40" i="15"/>
  <c r="N40" i="15"/>
  <c r="O40" i="15"/>
  <c r="P40" i="15"/>
  <c r="Q40" i="15"/>
  <c r="R40" i="15"/>
  <c r="S40" i="15"/>
  <c r="T40" i="15"/>
  <c r="U40" i="15"/>
  <c r="V40" i="15"/>
  <c r="W40" i="15"/>
  <c r="X40" i="15"/>
  <c r="Y40" i="15"/>
  <c r="Z40" i="15"/>
  <c r="F41" i="15"/>
  <c r="G41" i="15"/>
  <c r="H41" i="15"/>
  <c r="I41" i="15"/>
  <c r="J41" i="15"/>
  <c r="K41" i="15"/>
  <c r="L41" i="15"/>
  <c r="M41" i="15"/>
  <c r="N41" i="15"/>
  <c r="O41" i="15"/>
  <c r="P41" i="15"/>
  <c r="Q41" i="15"/>
  <c r="R41" i="15"/>
  <c r="S41" i="15"/>
  <c r="T41" i="15"/>
  <c r="U41" i="15"/>
  <c r="V41" i="15"/>
  <c r="W41" i="15"/>
  <c r="X41" i="15"/>
  <c r="Y41" i="15"/>
  <c r="Z41" i="15"/>
  <c r="F42" i="15"/>
  <c r="G42" i="15"/>
  <c r="H42" i="15"/>
  <c r="I42" i="15"/>
  <c r="J42" i="15"/>
  <c r="K42" i="15"/>
  <c r="L42" i="15"/>
  <c r="M42" i="15"/>
  <c r="N42" i="15"/>
  <c r="O42" i="15"/>
  <c r="P42" i="15"/>
  <c r="Q42" i="15"/>
  <c r="R42" i="15"/>
  <c r="S42" i="15"/>
  <c r="T42" i="15"/>
  <c r="U42" i="15"/>
  <c r="V42" i="15"/>
  <c r="W42" i="15"/>
  <c r="X42" i="15"/>
  <c r="Y42" i="15"/>
  <c r="Z42" i="15"/>
  <c r="F45" i="15"/>
  <c r="G45" i="15"/>
  <c r="H45" i="15"/>
  <c r="I45" i="15"/>
  <c r="J45" i="15"/>
  <c r="K45" i="15"/>
  <c r="L45" i="15"/>
  <c r="M45" i="15"/>
  <c r="N45" i="15"/>
  <c r="O45" i="15"/>
  <c r="P45" i="15"/>
  <c r="Q45" i="15"/>
  <c r="R45" i="15"/>
  <c r="S45" i="15"/>
  <c r="T45" i="15"/>
  <c r="U45" i="15"/>
  <c r="V45" i="15"/>
  <c r="W45" i="15"/>
  <c r="X45" i="15"/>
  <c r="Y45" i="15"/>
  <c r="Z45" i="15"/>
  <c r="AA45" i="15"/>
  <c r="F46" i="15"/>
  <c r="G46" i="15"/>
  <c r="H46" i="15"/>
  <c r="I46" i="15"/>
  <c r="J46" i="15"/>
  <c r="K46" i="15"/>
  <c r="L46" i="15"/>
  <c r="M46" i="15"/>
  <c r="N46" i="15"/>
  <c r="O46" i="15"/>
  <c r="P46" i="15"/>
  <c r="Q46" i="15"/>
  <c r="R46" i="15"/>
  <c r="S46" i="15"/>
  <c r="T46" i="15"/>
  <c r="U46" i="15"/>
  <c r="V46" i="15"/>
  <c r="W46" i="15"/>
  <c r="X46" i="15"/>
  <c r="Y46" i="15"/>
  <c r="Z46" i="15"/>
  <c r="AA46" i="15"/>
  <c r="F47" i="15"/>
  <c r="G47" i="15"/>
  <c r="H47" i="15"/>
  <c r="I47" i="15"/>
  <c r="J47" i="15"/>
  <c r="K47" i="15"/>
  <c r="L47" i="15"/>
  <c r="M47" i="15"/>
  <c r="N47" i="15"/>
  <c r="O47" i="15"/>
  <c r="P47" i="15"/>
  <c r="Q47" i="15"/>
  <c r="R47" i="15"/>
  <c r="S47" i="15"/>
  <c r="T47" i="15"/>
  <c r="U47" i="15"/>
  <c r="V47" i="15"/>
  <c r="W47" i="15"/>
  <c r="X47" i="15"/>
  <c r="Y47" i="15"/>
  <c r="Z47" i="15"/>
  <c r="AA47" i="15"/>
  <c r="F49" i="15"/>
  <c r="G49" i="15"/>
  <c r="H49" i="15"/>
  <c r="I49" i="15"/>
  <c r="J49" i="15"/>
  <c r="K49" i="15"/>
  <c r="L49" i="15"/>
  <c r="M49" i="15"/>
  <c r="N49" i="15"/>
  <c r="O49" i="15"/>
  <c r="P49" i="15"/>
  <c r="Q49" i="15"/>
  <c r="R49" i="15"/>
  <c r="S49" i="15"/>
  <c r="T49" i="15"/>
  <c r="U49" i="15"/>
  <c r="V49" i="15"/>
  <c r="W49" i="15"/>
  <c r="X49" i="15"/>
  <c r="Y49" i="15"/>
  <c r="Z49" i="15"/>
  <c r="AA49" i="15"/>
  <c r="F50" i="15"/>
  <c r="G50" i="15"/>
  <c r="H50" i="15"/>
  <c r="I50" i="15"/>
  <c r="J50" i="15"/>
  <c r="K50" i="15"/>
  <c r="L50" i="15"/>
  <c r="M50" i="15"/>
  <c r="N50" i="15"/>
  <c r="O50" i="15"/>
  <c r="P50" i="15"/>
  <c r="Q50" i="15"/>
  <c r="R50" i="15"/>
  <c r="S50" i="15"/>
  <c r="T50" i="15"/>
  <c r="U50" i="15"/>
  <c r="V50" i="15"/>
  <c r="W50" i="15"/>
  <c r="X50" i="15"/>
  <c r="Y50" i="15"/>
  <c r="Z50" i="15"/>
  <c r="AA50" i="15"/>
  <c r="F53" i="15"/>
  <c r="G53" i="15"/>
  <c r="H53" i="15"/>
  <c r="I53" i="15"/>
  <c r="J53" i="15"/>
  <c r="K53" i="15"/>
  <c r="L53" i="15"/>
  <c r="M53" i="15"/>
  <c r="N53" i="15"/>
  <c r="O53" i="15"/>
  <c r="P53" i="15"/>
  <c r="Q53" i="15"/>
  <c r="R53" i="15"/>
  <c r="S53" i="15"/>
  <c r="T53" i="15"/>
  <c r="U53" i="15"/>
  <c r="V53" i="15"/>
  <c r="W53" i="15"/>
  <c r="X53" i="15"/>
  <c r="Y53" i="15"/>
  <c r="Z53" i="15"/>
  <c r="AA53" i="15"/>
  <c r="F54" i="15"/>
  <c r="G54" i="15"/>
  <c r="H54" i="15"/>
  <c r="I54" i="15"/>
  <c r="J54" i="15"/>
  <c r="K54" i="15"/>
  <c r="L54" i="15"/>
  <c r="M54" i="15"/>
  <c r="N54" i="15"/>
  <c r="O54" i="15"/>
  <c r="P54" i="15"/>
  <c r="Q54" i="15"/>
  <c r="R54" i="15"/>
  <c r="S54" i="15"/>
  <c r="T54" i="15"/>
  <c r="U54" i="15"/>
  <c r="V54" i="15"/>
  <c r="W54" i="15"/>
  <c r="X54" i="15"/>
  <c r="Y54" i="15"/>
  <c r="Z54" i="15"/>
  <c r="AA54" i="15"/>
  <c r="F57" i="15"/>
  <c r="G57" i="15"/>
  <c r="H57" i="15"/>
  <c r="I57" i="15"/>
  <c r="J57" i="15"/>
  <c r="K57" i="15"/>
  <c r="L57" i="15"/>
  <c r="M57" i="15"/>
  <c r="N57" i="15"/>
  <c r="O57" i="15"/>
  <c r="P57" i="15"/>
  <c r="Q57" i="15"/>
  <c r="R57" i="15"/>
  <c r="S57" i="15"/>
  <c r="T57" i="15"/>
  <c r="U57" i="15"/>
  <c r="V57" i="15"/>
  <c r="W57" i="15"/>
  <c r="X57" i="15"/>
  <c r="Y57" i="15"/>
  <c r="Z57" i="15"/>
  <c r="AA57" i="15"/>
  <c r="F58" i="15"/>
  <c r="G58" i="15"/>
  <c r="H58" i="15"/>
  <c r="I58" i="15"/>
  <c r="J58" i="15"/>
  <c r="K58" i="15"/>
  <c r="L58" i="15"/>
  <c r="M58" i="15"/>
  <c r="N58" i="15"/>
  <c r="O58" i="15"/>
  <c r="P58" i="15"/>
  <c r="Q58" i="15"/>
  <c r="R58" i="15"/>
  <c r="S58" i="15"/>
  <c r="T58" i="15"/>
  <c r="U58" i="15"/>
  <c r="V58" i="15"/>
  <c r="W58" i="15"/>
  <c r="X58" i="15"/>
  <c r="Y58" i="15"/>
  <c r="Z58" i="15"/>
  <c r="AA58" i="15"/>
  <c r="F59" i="15"/>
  <c r="G59" i="15"/>
  <c r="H59" i="15"/>
  <c r="I59" i="15"/>
  <c r="J59" i="15"/>
  <c r="K59" i="15"/>
  <c r="L59" i="15"/>
  <c r="M59" i="15"/>
  <c r="N59" i="15"/>
  <c r="O59" i="15"/>
  <c r="P59" i="15"/>
  <c r="Q59" i="15"/>
  <c r="R59" i="15"/>
  <c r="S59" i="15"/>
  <c r="T59" i="15"/>
  <c r="U59" i="15"/>
  <c r="V59" i="15"/>
  <c r="W59" i="15"/>
  <c r="X59" i="15"/>
  <c r="Y59" i="15"/>
  <c r="Z59" i="15"/>
  <c r="AA59" i="15"/>
  <c r="F61" i="15"/>
  <c r="G61" i="15"/>
  <c r="H61" i="15"/>
  <c r="I61" i="15"/>
  <c r="J61" i="15"/>
  <c r="K61" i="15"/>
  <c r="L61" i="15"/>
  <c r="M61" i="15"/>
  <c r="N61" i="15"/>
  <c r="O61" i="15"/>
  <c r="P61" i="15"/>
  <c r="Q61" i="15"/>
  <c r="R61" i="15"/>
  <c r="S61" i="15"/>
  <c r="T61" i="15"/>
  <c r="U61" i="15"/>
  <c r="V61" i="15"/>
  <c r="W61" i="15"/>
  <c r="X61" i="15"/>
  <c r="Y61" i="15"/>
  <c r="Z61" i="15"/>
  <c r="AA61" i="15"/>
  <c r="F63" i="15"/>
  <c r="G63" i="15"/>
  <c r="H63" i="15"/>
  <c r="I63" i="15"/>
  <c r="J63" i="15"/>
  <c r="K63" i="15"/>
  <c r="L63" i="15"/>
  <c r="M63" i="15"/>
  <c r="N63" i="15"/>
  <c r="O63" i="15"/>
  <c r="P63" i="15"/>
  <c r="Q63" i="15"/>
  <c r="R63" i="15"/>
  <c r="S63" i="15"/>
  <c r="T63" i="15"/>
  <c r="U63" i="15"/>
  <c r="V63" i="15"/>
  <c r="W63" i="15"/>
  <c r="X63" i="15"/>
  <c r="Y63" i="15"/>
  <c r="Z63" i="15"/>
  <c r="AA63" i="15"/>
  <c r="F64" i="15"/>
  <c r="G64" i="15"/>
  <c r="H64" i="15"/>
  <c r="I64" i="15"/>
  <c r="J64" i="15"/>
  <c r="K64" i="15"/>
  <c r="L64" i="15"/>
  <c r="M64" i="15"/>
  <c r="N64" i="15"/>
  <c r="O64" i="15"/>
  <c r="P64" i="15"/>
  <c r="Q64" i="15"/>
  <c r="R64" i="15"/>
  <c r="S64" i="15"/>
  <c r="T64" i="15"/>
  <c r="U64" i="15"/>
  <c r="V64" i="15"/>
  <c r="W64" i="15"/>
  <c r="X64" i="15"/>
  <c r="Y64" i="15"/>
  <c r="Z64" i="15"/>
  <c r="AA64" i="15"/>
  <c r="F67" i="15"/>
  <c r="G67" i="15"/>
  <c r="H67" i="15"/>
  <c r="I67" i="15"/>
  <c r="J67" i="15"/>
  <c r="K67" i="15"/>
  <c r="L67" i="15"/>
  <c r="M67" i="15"/>
  <c r="N67" i="15"/>
  <c r="O67" i="15"/>
  <c r="P67" i="15"/>
  <c r="Q67" i="15"/>
  <c r="R67" i="15"/>
  <c r="S67" i="15"/>
  <c r="T67" i="15"/>
  <c r="U67" i="15"/>
  <c r="V67" i="15"/>
  <c r="W67" i="15"/>
  <c r="X67" i="15"/>
  <c r="Y67" i="15"/>
  <c r="Z67" i="15"/>
  <c r="AA67" i="15"/>
  <c r="F68" i="15"/>
  <c r="G68" i="15"/>
  <c r="H68" i="15"/>
  <c r="I68" i="15"/>
  <c r="J68" i="15"/>
  <c r="K68" i="15"/>
  <c r="L68" i="15"/>
  <c r="M68" i="15"/>
  <c r="N68" i="15"/>
  <c r="O68" i="15"/>
  <c r="P68" i="15"/>
  <c r="Q68" i="15"/>
  <c r="R68" i="15"/>
  <c r="S68" i="15"/>
  <c r="T68" i="15"/>
  <c r="U68" i="15"/>
  <c r="V68" i="15"/>
  <c r="W68" i="15"/>
  <c r="X68" i="15"/>
  <c r="Y68" i="15"/>
  <c r="Z68" i="15"/>
  <c r="AA68" i="15"/>
  <c r="F70" i="15"/>
  <c r="G70" i="15"/>
  <c r="H70" i="15"/>
  <c r="I70" i="15"/>
  <c r="J70" i="15"/>
  <c r="K70" i="15"/>
  <c r="L70" i="15"/>
  <c r="M70" i="15"/>
  <c r="N70" i="15"/>
  <c r="O70" i="15"/>
  <c r="P70" i="15"/>
  <c r="Q70" i="15"/>
  <c r="R70" i="15"/>
  <c r="S70" i="15"/>
  <c r="T70" i="15"/>
  <c r="U70" i="15"/>
  <c r="V70" i="15"/>
  <c r="W70" i="15"/>
  <c r="X70" i="15"/>
  <c r="Y70" i="15"/>
  <c r="Z70" i="15"/>
  <c r="AA70" i="15"/>
  <c r="F71" i="15"/>
  <c r="G71" i="15"/>
  <c r="H71" i="15"/>
  <c r="I71" i="15"/>
  <c r="J71" i="15"/>
  <c r="K71" i="15"/>
  <c r="L71" i="15"/>
  <c r="M71" i="15"/>
  <c r="N71" i="15"/>
  <c r="O71" i="15"/>
  <c r="P71" i="15"/>
  <c r="Q71" i="15"/>
  <c r="R71" i="15"/>
  <c r="S71" i="15"/>
  <c r="T71" i="15"/>
  <c r="U71" i="15"/>
  <c r="V71" i="15"/>
  <c r="W71" i="15"/>
  <c r="X71" i="15"/>
  <c r="Y71" i="15"/>
  <c r="Z71" i="15"/>
  <c r="AA71" i="15"/>
  <c r="F72" i="15"/>
  <c r="G72" i="15"/>
  <c r="H72" i="15"/>
  <c r="I72" i="15"/>
  <c r="J72" i="15"/>
  <c r="K72" i="15"/>
  <c r="L72" i="15"/>
  <c r="M72" i="15"/>
  <c r="N72" i="15"/>
  <c r="O72" i="15"/>
  <c r="P72" i="15"/>
  <c r="Q72" i="15"/>
  <c r="R72" i="15"/>
  <c r="S72" i="15"/>
  <c r="T72" i="15"/>
  <c r="U72" i="15"/>
  <c r="V72" i="15"/>
  <c r="W72" i="15"/>
  <c r="X72" i="15"/>
  <c r="Y72" i="15"/>
  <c r="Z72" i="15"/>
  <c r="AA72" i="15"/>
  <c r="F74" i="15"/>
  <c r="G74" i="15"/>
  <c r="H74" i="15"/>
  <c r="I74" i="15"/>
  <c r="J74" i="15"/>
  <c r="K74" i="15"/>
  <c r="L74" i="15"/>
  <c r="M74" i="15"/>
  <c r="N74" i="15"/>
  <c r="O74" i="15"/>
  <c r="P74" i="15"/>
  <c r="Q74" i="15"/>
  <c r="R74" i="15"/>
  <c r="S74" i="15"/>
  <c r="T74" i="15"/>
  <c r="U74" i="15"/>
  <c r="V74" i="15"/>
  <c r="W74" i="15"/>
  <c r="X74" i="15"/>
  <c r="Y74" i="15"/>
  <c r="Z74" i="15"/>
  <c r="AA74" i="15"/>
  <c r="F75" i="15"/>
  <c r="G75" i="15"/>
  <c r="H75" i="15"/>
  <c r="I75" i="15"/>
  <c r="J75" i="15"/>
  <c r="K75" i="15"/>
  <c r="L75" i="15"/>
  <c r="M75" i="15"/>
  <c r="N75" i="15"/>
  <c r="O75" i="15"/>
  <c r="P75" i="15"/>
  <c r="Q75" i="15"/>
  <c r="R75" i="15"/>
  <c r="S75" i="15"/>
  <c r="T75" i="15"/>
  <c r="U75" i="15"/>
  <c r="V75" i="15"/>
  <c r="W75" i="15"/>
  <c r="X75" i="15"/>
  <c r="Y75" i="15"/>
  <c r="Z75" i="15"/>
  <c r="AA75" i="15"/>
  <c r="F76" i="15"/>
  <c r="G76" i="15"/>
  <c r="H76" i="15"/>
  <c r="I76" i="15"/>
  <c r="J76" i="15"/>
  <c r="K76" i="15"/>
  <c r="L76" i="15"/>
  <c r="M76" i="15"/>
  <c r="N76" i="15"/>
  <c r="O76" i="15"/>
  <c r="P76" i="15"/>
  <c r="Q76" i="15"/>
  <c r="R76" i="15"/>
  <c r="S76" i="15"/>
  <c r="T76" i="15"/>
  <c r="U76" i="15"/>
  <c r="V76" i="15"/>
  <c r="W76" i="15"/>
  <c r="X76" i="15"/>
  <c r="Y76" i="15"/>
  <c r="Z76" i="15"/>
  <c r="AA76" i="15"/>
  <c r="F79" i="15"/>
  <c r="G79" i="15"/>
  <c r="H79" i="15"/>
  <c r="I79" i="15"/>
  <c r="J79" i="15"/>
  <c r="K79" i="15"/>
  <c r="L79" i="15"/>
  <c r="M79" i="15"/>
  <c r="N79" i="15"/>
  <c r="O79" i="15"/>
  <c r="P79" i="15"/>
  <c r="Q79" i="15"/>
  <c r="R79" i="15"/>
  <c r="S79" i="15"/>
  <c r="T79" i="15"/>
  <c r="U79" i="15"/>
  <c r="V79" i="15"/>
  <c r="W79" i="15"/>
  <c r="X79" i="15"/>
  <c r="Y79" i="15"/>
  <c r="Z79" i="15"/>
  <c r="AA79" i="15"/>
  <c r="F80" i="15"/>
  <c r="G80" i="15"/>
  <c r="H80" i="15"/>
  <c r="I80" i="15"/>
  <c r="J80" i="15"/>
  <c r="K80" i="15"/>
  <c r="L80" i="15"/>
  <c r="M80" i="15"/>
  <c r="N80" i="15"/>
  <c r="O80" i="15"/>
  <c r="P80" i="15"/>
  <c r="Q80" i="15"/>
  <c r="R80" i="15"/>
  <c r="S80" i="15"/>
  <c r="T80" i="15"/>
  <c r="U80" i="15"/>
  <c r="V80" i="15"/>
  <c r="W80" i="15"/>
  <c r="X80" i="15"/>
  <c r="Y80" i="15"/>
  <c r="Z80" i="15"/>
  <c r="AA80" i="15"/>
  <c r="F81" i="15"/>
  <c r="G81" i="15"/>
  <c r="H81" i="15"/>
  <c r="I81" i="15"/>
  <c r="J81" i="15"/>
  <c r="K81" i="15"/>
  <c r="L81" i="15"/>
  <c r="M81" i="15"/>
  <c r="N81" i="15"/>
  <c r="O81" i="15"/>
  <c r="P81" i="15"/>
  <c r="Q81" i="15"/>
  <c r="R81" i="15"/>
  <c r="S81" i="15"/>
  <c r="T81" i="15"/>
  <c r="U81" i="15"/>
  <c r="V81" i="15"/>
  <c r="W81" i="15"/>
  <c r="X81" i="15"/>
  <c r="Y81" i="15"/>
  <c r="Z81" i="15"/>
  <c r="AA81" i="15"/>
  <c r="F82" i="15"/>
  <c r="G82" i="15"/>
  <c r="H82" i="15"/>
  <c r="I82" i="15"/>
  <c r="J82" i="15"/>
  <c r="K82" i="15"/>
  <c r="L82" i="15"/>
  <c r="M82" i="15"/>
  <c r="N82" i="15"/>
  <c r="O82" i="15"/>
  <c r="P82" i="15"/>
  <c r="Q82" i="15"/>
  <c r="R82" i="15"/>
  <c r="S82" i="15"/>
  <c r="T82" i="15"/>
  <c r="U82" i="15"/>
  <c r="V82" i="15"/>
  <c r="W82" i="15"/>
  <c r="X82" i="15"/>
  <c r="Y82" i="15"/>
  <c r="Z82" i="15"/>
  <c r="AA82" i="15"/>
  <c r="F85" i="15"/>
  <c r="G85" i="15"/>
  <c r="H85" i="15"/>
  <c r="I85" i="15"/>
  <c r="J85" i="15"/>
  <c r="K85" i="15"/>
  <c r="L85" i="15"/>
  <c r="M85" i="15"/>
  <c r="N85" i="15"/>
  <c r="O85" i="15"/>
  <c r="P85" i="15"/>
  <c r="Q85" i="15"/>
  <c r="R85" i="15"/>
  <c r="S85" i="15"/>
  <c r="T85" i="15"/>
  <c r="U85" i="15"/>
  <c r="V85" i="15"/>
  <c r="W85" i="15"/>
  <c r="X85" i="15"/>
  <c r="Y85" i="15"/>
  <c r="Z85" i="15"/>
  <c r="AA85" i="15"/>
  <c r="F86" i="15"/>
  <c r="G86" i="15"/>
  <c r="H86" i="15"/>
  <c r="I86" i="15"/>
  <c r="J86" i="15"/>
  <c r="K86" i="15"/>
  <c r="L86" i="15"/>
  <c r="M86" i="15"/>
  <c r="N86" i="15"/>
  <c r="O86" i="15"/>
  <c r="P86" i="15"/>
  <c r="Q86" i="15"/>
  <c r="R86" i="15"/>
  <c r="S86" i="15"/>
  <c r="T86" i="15"/>
  <c r="U86" i="15"/>
  <c r="V86" i="15"/>
  <c r="W86" i="15"/>
  <c r="X86" i="15"/>
  <c r="Y86" i="15"/>
  <c r="Z86" i="15"/>
  <c r="AA86" i="15"/>
  <c r="D89" i="15"/>
  <c r="F89" i="15"/>
  <c r="G89" i="15"/>
  <c r="H89" i="15"/>
  <c r="I89" i="15"/>
  <c r="J89" i="15"/>
  <c r="K89" i="15"/>
  <c r="L89" i="15"/>
  <c r="M89" i="15"/>
  <c r="N89" i="15"/>
  <c r="O89" i="15"/>
  <c r="P89" i="15"/>
  <c r="Q89" i="15"/>
  <c r="R89" i="15"/>
  <c r="S89" i="15"/>
  <c r="T89" i="15"/>
  <c r="U89" i="15"/>
  <c r="V89" i="15"/>
  <c r="W89" i="15"/>
  <c r="X89" i="15"/>
  <c r="Y89" i="15"/>
  <c r="Z89" i="15"/>
  <c r="AA89" i="15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F40" i="8"/>
  <c r="G40" i="8"/>
  <c r="H40" i="8"/>
  <c r="I40" i="8"/>
  <c r="J40" i="8"/>
  <c r="K40" i="8"/>
  <c r="L40" i="8"/>
  <c r="M40" i="8"/>
  <c r="N40" i="8"/>
  <c r="O40" i="8"/>
  <c r="P40" i="8"/>
  <c r="Q40" i="8"/>
  <c r="R40" i="8"/>
  <c r="S40" i="8"/>
  <c r="T40" i="8"/>
  <c r="U40" i="8"/>
  <c r="V40" i="8"/>
  <c r="W40" i="8"/>
  <c r="X40" i="8"/>
  <c r="Y40" i="8"/>
  <c r="Z40" i="8"/>
  <c r="AA40" i="8"/>
  <c r="F42" i="8"/>
  <c r="G42" i="8"/>
  <c r="H42" i="8"/>
  <c r="I42" i="8"/>
  <c r="J42" i="8"/>
  <c r="K42" i="8"/>
  <c r="L42" i="8"/>
  <c r="M42" i="8"/>
  <c r="N42" i="8"/>
  <c r="O42" i="8"/>
  <c r="P42" i="8"/>
  <c r="Q42" i="8"/>
  <c r="R42" i="8"/>
  <c r="S42" i="8"/>
  <c r="T42" i="8"/>
  <c r="U42" i="8"/>
  <c r="V42" i="8"/>
  <c r="W42" i="8"/>
  <c r="X42" i="8"/>
  <c r="Y42" i="8"/>
  <c r="Z42" i="8"/>
  <c r="AA42" i="8"/>
  <c r="F50" i="8"/>
  <c r="G50" i="8"/>
  <c r="H50" i="8"/>
  <c r="I50" i="8"/>
  <c r="J50" i="8"/>
  <c r="K50" i="8"/>
  <c r="L50" i="8"/>
  <c r="M50" i="8"/>
  <c r="N50" i="8"/>
  <c r="O50" i="8"/>
  <c r="P50" i="8"/>
  <c r="Q50" i="8"/>
  <c r="R50" i="8"/>
  <c r="S50" i="8"/>
  <c r="T50" i="8"/>
  <c r="U50" i="8"/>
  <c r="V50" i="8"/>
  <c r="W50" i="8"/>
  <c r="X50" i="8"/>
  <c r="Y50" i="8"/>
  <c r="Z50" i="8"/>
  <c r="AA50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W52" i="8"/>
  <c r="X52" i="8"/>
  <c r="Y52" i="8"/>
  <c r="Z52" i="8"/>
  <c r="AA52" i="8"/>
  <c r="F6" i="11"/>
  <c r="G6" i="11"/>
  <c r="H6" i="11"/>
  <c r="I6" i="11"/>
  <c r="J6" i="11"/>
  <c r="K6" i="11"/>
  <c r="L6" i="1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F7" i="11"/>
  <c r="G7" i="11"/>
  <c r="H7" i="11"/>
  <c r="I7" i="11"/>
  <c r="J7" i="11"/>
  <c r="K7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F8" i="11"/>
  <c r="G8" i="11"/>
  <c r="H8" i="11"/>
  <c r="I8" i="11"/>
  <c r="J8" i="11"/>
  <c r="K8" i="11"/>
  <c r="L8" i="11"/>
  <c r="M8" i="11"/>
  <c r="N8" i="11"/>
  <c r="O8" i="11"/>
  <c r="P8" i="11"/>
  <c r="Q8" i="11"/>
  <c r="R8" i="11"/>
  <c r="S8" i="11"/>
  <c r="T8" i="11"/>
  <c r="U8" i="11"/>
  <c r="V8" i="11"/>
  <c r="W8" i="11"/>
  <c r="X8" i="11"/>
  <c r="Y8" i="11"/>
  <c r="Z8" i="11"/>
  <c r="AA8" i="11"/>
  <c r="F9" i="11"/>
  <c r="G9" i="11"/>
  <c r="H9" i="11"/>
  <c r="I9" i="11"/>
  <c r="J9" i="11"/>
  <c r="K9" i="11"/>
  <c r="L9" i="11"/>
  <c r="M9" i="11"/>
  <c r="N9" i="11"/>
  <c r="O9" i="11"/>
  <c r="P9" i="11"/>
  <c r="Q9" i="11"/>
  <c r="R9" i="11"/>
  <c r="S9" i="11"/>
  <c r="T9" i="11"/>
  <c r="U9" i="11"/>
  <c r="V9" i="11"/>
  <c r="W9" i="11"/>
  <c r="X9" i="11"/>
  <c r="Y9" i="11"/>
  <c r="Z9" i="11"/>
  <c r="AA9" i="11"/>
  <c r="F10" i="11"/>
  <c r="G10" i="11"/>
  <c r="H10" i="11"/>
  <c r="I10" i="11"/>
  <c r="J10" i="11"/>
  <c r="K10" i="11"/>
  <c r="L10" i="11"/>
  <c r="M10" i="11"/>
  <c r="N10" i="11"/>
  <c r="O10" i="11"/>
  <c r="P10" i="11"/>
  <c r="Q10" i="11"/>
  <c r="R10" i="11"/>
  <c r="S10" i="11"/>
  <c r="T10" i="11"/>
  <c r="U10" i="11"/>
  <c r="V10" i="11"/>
  <c r="W10" i="11"/>
  <c r="X10" i="11"/>
  <c r="Y10" i="11"/>
  <c r="Z10" i="11"/>
  <c r="AA10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R13" i="11"/>
  <c r="S13" i="11"/>
  <c r="T13" i="11"/>
  <c r="U13" i="11"/>
  <c r="V13" i="11"/>
  <c r="W13" i="11"/>
  <c r="X13" i="11"/>
  <c r="Y13" i="11"/>
  <c r="Z13" i="11"/>
  <c r="AA13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R14" i="11"/>
  <c r="S14" i="11"/>
  <c r="T14" i="11"/>
  <c r="U14" i="11"/>
  <c r="V14" i="11"/>
  <c r="W14" i="11"/>
  <c r="X14" i="11"/>
  <c r="Y14" i="11"/>
  <c r="Z14" i="11"/>
  <c r="AA14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R15" i="11"/>
  <c r="S15" i="11"/>
  <c r="T15" i="11"/>
  <c r="U15" i="11"/>
  <c r="V15" i="11"/>
  <c r="W15" i="11"/>
  <c r="X15" i="11"/>
  <c r="Y15" i="11"/>
  <c r="Z15" i="11"/>
  <c r="AA15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S17" i="11"/>
  <c r="T17" i="11"/>
  <c r="U17" i="11"/>
  <c r="V17" i="11"/>
  <c r="W17" i="11"/>
  <c r="X17" i="11"/>
  <c r="Y17" i="11"/>
  <c r="Z17" i="11"/>
  <c r="AA17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T18" i="11"/>
  <c r="U18" i="11"/>
  <c r="V18" i="11"/>
  <c r="W18" i="11"/>
  <c r="X18" i="11"/>
  <c r="Y18" i="11"/>
  <c r="Z18" i="11"/>
  <c r="AA18" i="11"/>
  <c r="G19" i="11"/>
  <c r="H19" i="11"/>
  <c r="I19" i="11"/>
  <c r="J19" i="11"/>
  <c r="K19" i="11"/>
  <c r="L19" i="11"/>
  <c r="M19" i="11"/>
  <c r="N19" i="11"/>
  <c r="O19" i="11"/>
  <c r="P19" i="11"/>
  <c r="Q19" i="11"/>
  <c r="R19" i="11"/>
  <c r="S19" i="11"/>
  <c r="T19" i="11"/>
  <c r="U19" i="11"/>
  <c r="V19" i="11"/>
  <c r="W19" i="11"/>
  <c r="X19" i="11"/>
  <c r="Y19" i="11"/>
  <c r="Z19" i="11"/>
  <c r="AA19" i="11"/>
  <c r="F20" i="11"/>
  <c r="G20" i="11"/>
  <c r="H20" i="11"/>
  <c r="I20" i="11"/>
  <c r="J20" i="11"/>
  <c r="K20" i="11"/>
  <c r="L20" i="11"/>
  <c r="M20" i="11"/>
  <c r="N20" i="11"/>
  <c r="O20" i="11"/>
  <c r="P20" i="11"/>
  <c r="Q20" i="11"/>
  <c r="R20" i="11"/>
  <c r="S20" i="11"/>
  <c r="T20" i="11"/>
  <c r="U20" i="11"/>
  <c r="V20" i="11"/>
  <c r="W20" i="11"/>
  <c r="X20" i="11"/>
  <c r="Y20" i="11"/>
  <c r="Z20" i="11"/>
  <c r="AA20" i="11"/>
  <c r="F23" i="11"/>
  <c r="G23" i="11"/>
  <c r="H23" i="11"/>
  <c r="I23" i="11"/>
  <c r="J23" i="11"/>
  <c r="K23" i="11"/>
  <c r="L23" i="11"/>
  <c r="M23" i="11"/>
  <c r="N23" i="11"/>
  <c r="O23" i="11"/>
  <c r="P23" i="11"/>
  <c r="Q23" i="11"/>
  <c r="R23" i="11"/>
  <c r="S23" i="11"/>
  <c r="T23" i="11"/>
  <c r="U23" i="11"/>
  <c r="V23" i="11"/>
  <c r="W23" i="11"/>
  <c r="X23" i="11"/>
  <c r="Y23" i="11"/>
  <c r="Z23" i="11"/>
  <c r="AA23" i="11"/>
  <c r="F24" i="11"/>
  <c r="G24" i="11"/>
  <c r="H24" i="11"/>
  <c r="I24" i="11"/>
  <c r="J24" i="11"/>
  <c r="K24" i="11"/>
  <c r="L24" i="11"/>
  <c r="M24" i="11"/>
  <c r="N24" i="11"/>
  <c r="O24" i="11"/>
  <c r="P24" i="11"/>
  <c r="Q24" i="11"/>
  <c r="R24" i="11"/>
  <c r="S24" i="11"/>
  <c r="T24" i="11"/>
  <c r="U24" i="11"/>
  <c r="V24" i="11"/>
  <c r="W24" i="11"/>
  <c r="X24" i="11"/>
  <c r="Y24" i="11"/>
  <c r="Z24" i="11"/>
  <c r="AA24" i="11"/>
  <c r="F25" i="11"/>
  <c r="G25" i="11"/>
  <c r="H25" i="11"/>
  <c r="I25" i="11"/>
  <c r="J25" i="11"/>
  <c r="K25" i="11"/>
  <c r="L25" i="11"/>
  <c r="M25" i="11"/>
  <c r="N25" i="11"/>
  <c r="O25" i="11"/>
  <c r="P25" i="11"/>
  <c r="Q25" i="11"/>
  <c r="R25" i="11"/>
  <c r="S25" i="11"/>
  <c r="T25" i="11"/>
  <c r="U25" i="11"/>
  <c r="V25" i="11"/>
  <c r="W25" i="11"/>
  <c r="X25" i="11"/>
  <c r="Y25" i="11"/>
  <c r="Z25" i="11"/>
  <c r="AA25" i="11"/>
  <c r="G27" i="11"/>
  <c r="H27" i="11"/>
  <c r="I27" i="11"/>
  <c r="J27" i="11"/>
  <c r="K27" i="11"/>
  <c r="L27" i="11"/>
  <c r="M27" i="11"/>
  <c r="N27" i="11"/>
  <c r="O27" i="11"/>
  <c r="P27" i="11"/>
  <c r="Q27" i="11"/>
  <c r="R27" i="11"/>
  <c r="S27" i="11"/>
  <c r="T27" i="11"/>
  <c r="U27" i="11"/>
  <c r="V27" i="11"/>
  <c r="W27" i="11"/>
  <c r="X27" i="11"/>
  <c r="Y27" i="11"/>
  <c r="Z27" i="11"/>
  <c r="AA27" i="11"/>
  <c r="F28" i="11"/>
  <c r="G28" i="11"/>
  <c r="H28" i="11"/>
  <c r="I28" i="11"/>
  <c r="J28" i="11"/>
  <c r="K28" i="11"/>
  <c r="L28" i="11"/>
  <c r="M28" i="11"/>
  <c r="N28" i="11"/>
  <c r="O28" i="11"/>
  <c r="P28" i="11"/>
  <c r="Q28" i="11"/>
  <c r="R28" i="11"/>
  <c r="S28" i="11"/>
  <c r="T28" i="11"/>
  <c r="U28" i="11"/>
  <c r="V28" i="11"/>
  <c r="W28" i="11"/>
  <c r="X28" i="11"/>
  <c r="Y28" i="11"/>
  <c r="Z28" i="11"/>
  <c r="AA28" i="11"/>
  <c r="F29" i="11"/>
  <c r="G29" i="11"/>
  <c r="H29" i="11"/>
  <c r="I29" i="11"/>
  <c r="J29" i="11"/>
  <c r="K29" i="11"/>
  <c r="L29" i="11"/>
  <c r="M29" i="11"/>
  <c r="N29" i="11"/>
  <c r="O29" i="11"/>
  <c r="P29" i="11"/>
  <c r="Q29" i="11"/>
  <c r="R29" i="11"/>
  <c r="S29" i="11"/>
  <c r="T29" i="11"/>
  <c r="U29" i="11"/>
  <c r="V29" i="11"/>
  <c r="W29" i="11"/>
  <c r="X29" i="11"/>
  <c r="Y29" i="11"/>
  <c r="Z29" i="11"/>
  <c r="AA29" i="11"/>
  <c r="F30" i="11"/>
  <c r="G30" i="11"/>
  <c r="H30" i="11"/>
  <c r="I30" i="11"/>
  <c r="J30" i="11"/>
  <c r="K30" i="11"/>
  <c r="L30" i="11"/>
  <c r="M30" i="11"/>
  <c r="N30" i="11"/>
  <c r="O30" i="11"/>
  <c r="P30" i="11"/>
  <c r="Q30" i="11"/>
  <c r="R30" i="11"/>
  <c r="S30" i="11"/>
  <c r="T30" i="11"/>
  <c r="U30" i="11"/>
  <c r="V30" i="11"/>
  <c r="W30" i="11"/>
  <c r="X30" i="11"/>
  <c r="Y30" i="11"/>
  <c r="Z30" i="11"/>
  <c r="AA30" i="11"/>
  <c r="F33" i="11"/>
  <c r="G33" i="11"/>
  <c r="H33" i="11"/>
  <c r="I33" i="11"/>
  <c r="J33" i="11"/>
  <c r="K33" i="11"/>
  <c r="L33" i="11"/>
  <c r="M33" i="11"/>
  <c r="N33" i="11"/>
  <c r="O33" i="11"/>
  <c r="P33" i="11"/>
  <c r="Q33" i="11"/>
  <c r="R33" i="11"/>
  <c r="S33" i="11"/>
  <c r="T33" i="11"/>
  <c r="U33" i="11"/>
  <c r="V33" i="11"/>
  <c r="W33" i="11"/>
  <c r="X33" i="11"/>
  <c r="Y33" i="11"/>
  <c r="Z33" i="11"/>
  <c r="AA33" i="11"/>
  <c r="F34" i="11"/>
  <c r="G34" i="11"/>
  <c r="H34" i="11"/>
  <c r="I34" i="11"/>
  <c r="J34" i="11"/>
  <c r="K34" i="11"/>
  <c r="L34" i="11"/>
  <c r="M34" i="11"/>
  <c r="N34" i="11"/>
  <c r="O34" i="11"/>
  <c r="P34" i="11"/>
  <c r="Q34" i="11"/>
  <c r="R34" i="11"/>
  <c r="S34" i="11"/>
  <c r="T34" i="11"/>
  <c r="U34" i="11"/>
  <c r="V34" i="11"/>
  <c r="W34" i="11"/>
  <c r="X34" i="11"/>
  <c r="Y34" i="11"/>
  <c r="Z34" i="11"/>
  <c r="AA34" i="11"/>
  <c r="F35" i="11"/>
  <c r="G35" i="11"/>
  <c r="H35" i="11"/>
  <c r="I35" i="11"/>
  <c r="J35" i="11"/>
  <c r="K35" i="11"/>
  <c r="L35" i="11"/>
  <c r="M35" i="11"/>
  <c r="N35" i="11"/>
  <c r="O35" i="11"/>
  <c r="P35" i="11"/>
  <c r="Q35" i="11"/>
  <c r="R35" i="11"/>
  <c r="S35" i="11"/>
  <c r="T35" i="11"/>
  <c r="U35" i="11"/>
  <c r="V35" i="11"/>
  <c r="W35" i="11"/>
  <c r="X35" i="11"/>
  <c r="Y35" i="11"/>
  <c r="Z35" i="11"/>
  <c r="AA35" i="11"/>
  <c r="F36" i="11"/>
  <c r="G36" i="11"/>
  <c r="H36" i="11"/>
  <c r="I36" i="11"/>
  <c r="J36" i="11"/>
  <c r="K36" i="11"/>
  <c r="L36" i="11"/>
  <c r="M36" i="11"/>
  <c r="N36" i="11"/>
  <c r="O36" i="11"/>
  <c r="P36" i="11"/>
  <c r="Q36" i="11"/>
  <c r="R36" i="11"/>
  <c r="S36" i="11"/>
  <c r="T36" i="11"/>
  <c r="U36" i="11"/>
  <c r="V36" i="11"/>
  <c r="W36" i="11"/>
  <c r="X36" i="11"/>
  <c r="Y36" i="11"/>
  <c r="Z36" i="11"/>
  <c r="AA36" i="11"/>
  <c r="F37" i="11"/>
  <c r="G37" i="11"/>
  <c r="H37" i="11"/>
  <c r="I37" i="11"/>
  <c r="J37" i="11"/>
  <c r="K37" i="11"/>
  <c r="L37" i="11"/>
  <c r="M37" i="11"/>
  <c r="N37" i="11"/>
  <c r="O37" i="11"/>
  <c r="P37" i="11"/>
  <c r="Q37" i="11"/>
  <c r="R37" i="11"/>
  <c r="S37" i="11"/>
  <c r="T37" i="11"/>
  <c r="U37" i="11"/>
  <c r="V37" i="11"/>
  <c r="W37" i="11"/>
  <c r="X37" i="11"/>
  <c r="Y37" i="11"/>
  <c r="Z37" i="11"/>
  <c r="AA37" i="11"/>
  <c r="F40" i="11"/>
  <c r="G40" i="11"/>
  <c r="H40" i="11"/>
  <c r="I40" i="11"/>
  <c r="J40" i="11"/>
  <c r="K40" i="11"/>
  <c r="L40" i="11"/>
  <c r="M40" i="11"/>
  <c r="N40" i="11"/>
  <c r="O40" i="11"/>
  <c r="P40" i="11"/>
  <c r="Q40" i="11"/>
  <c r="R40" i="11"/>
  <c r="S40" i="11"/>
  <c r="T40" i="11"/>
  <c r="U40" i="11"/>
  <c r="V40" i="11"/>
  <c r="W40" i="11"/>
  <c r="X40" i="11"/>
  <c r="Y40" i="11"/>
  <c r="Z40" i="11"/>
  <c r="AA40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R41" i="11"/>
  <c r="S41" i="11"/>
  <c r="T41" i="11"/>
  <c r="U41" i="11"/>
  <c r="V41" i="11"/>
  <c r="W41" i="11"/>
  <c r="X41" i="11"/>
  <c r="Y41" i="11"/>
  <c r="Z41" i="11"/>
  <c r="AA41" i="11"/>
  <c r="F42" i="11"/>
  <c r="G42" i="11"/>
  <c r="H42" i="11"/>
  <c r="I42" i="11"/>
  <c r="J42" i="11"/>
  <c r="K42" i="11"/>
  <c r="L42" i="11"/>
  <c r="M42" i="11"/>
  <c r="N42" i="11"/>
  <c r="O42" i="11"/>
  <c r="P42" i="11"/>
  <c r="Q42" i="11"/>
  <c r="R42" i="11"/>
  <c r="S42" i="11"/>
  <c r="T42" i="11"/>
  <c r="U42" i="11"/>
  <c r="V42" i="11"/>
  <c r="W42" i="11"/>
  <c r="X42" i="11"/>
  <c r="Y42" i="11"/>
  <c r="Z42" i="11"/>
  <c r="AA42" i="11"/>
  <c r="F45" i="11"/>
  <c r="G45" i="11"/>
  <c r="H45" i="11"/>
  <c r="I45" i="11"/>
  <c r="J45" i="11"/>
  <c r="K45" i="11"/>
  <c r="L45" i="11"/>
  <c r="M45" i="11"/>
  <c r="N45" i="11"/>
  <c r="O45" i="11"/>
  <c r="P45" i="11"/>
  <c r="Q45" i="11"/>
  <c r="R45" i="11"/>
  <c r="S45" i="11"/>
  <c r="T45" i="11"/>
  <c r="U45" i="11"/>
  <c r="V45" i="11"/>
  <c r="W45" i="11"/>
  <c r="X45" i="11"/>
  <c r="Y45" i="11"/>
  <c r="Z45" i="11"/>
  <c r="AA45" i="11"/>
  <c r="F46" i="11"/>
  <c r="G46" i="11"/>
  <c r="H46" i="11"/>
  <c r="I46" i="11"/>
  <c r="J46" i="11"/>
  <c r="K46" i="11"/>
  <c r="L46" i="11"/>
  <c r="M46" i="11"/>
  <c r="N46" i="11"/>
  <c r="O46" i="11"/>
  <c r="P46" i="11"/>
  <c r="Q46" i="11"/>
  <c r="R46" i="11"/>
  <c r="S46" i="11"/>
  <c r="T46" i="11"/>
  <c r="U46" i="11"/>
  <c r="V46" i="11"/>
  <c r="W46" i="11"/>
  <c r="X46" i="11"/>
  <c r="Y46" i="11"/>
  <c r="Z46" i="11"/>
  <c r="AA46" i="11"/>
  <c r="F48" i="11"/>
  <c r="G48" i="11"/>
  <c r="H48" i="11"/>
  <c r="I48" i="11"/>
  <c r="J48" i="11"/>
  <c r="K48" i="11"/>
  <c r="L48" i="11"/>
  <c r="M48" i="11"/>
  <c r="N48" i="11"/>
  <c r="O48" i="11"/>
  <c r="P48" i="11"/>
  <c r="Q48" i="11"/>
  <c r="R48" i="11"/>
  <c r="S48" i="11"/>
  <c r="T48" i="11"/>
  <c r="U48" i="11"/>
  <c r="V48" i="11"/>
  <c r="W48" i="11"/>
  <c r="X48" i="11"/>
  <c r="Y48" i="11"/>
  <c r="Z48" i="11"/>
  <c r="AA48" i="11"/>
  <c r="G49" i="11"/>
  <c r="H49" i="11"/>
  <c r="I49" i="11"/>
  <c r="J49" i="11"/>
  <c r="K49" i="11"/>
  <c r="L49" i="11"/>
  <c r="M49" i="11"/>
  <c r="N49" i="11"/>
  <c r="O49" i="11"/>
  <c r="P49" i="11"/>
  <c r="Q49" i="11"/>
  <c r="R49" i="11"/>
  <c r="S49" i="11"/>
  <c r="T49" i="11"/>
  <c r="U49" i="11"/>
  <c r="V49" i="11"/>
  <c r="W49" i="11"/>
  <c r="X49" i="11"/>
  <c r="Y49" i="11"/>
  <c r="Z49" i="11"/>
  <c r="AA49" i="11"/>
  <c r="F50" i="11"/>
  <c r="G50" i="11"/>
  <c r="H50" i="11"/>
  <c r="I50" i="11"/>
  <c r="J50" i="11"/>
  <c r="K50" i="11"/>
  <c r="L50" i="11"/>
  <c r="M50" i="11"/>
  <c r="N50" i="11"/>
  <c r="O50" i="11"/>
  <c r="P50" i="11"/>
  <c r="Q50" i="11"/>
  <c r="R50" i="11"/>
  <c r="S50" i="11"/>
  <c r="T50" i="11"/>
  <c r="U50" i="11"/>
  <c r="V50" i="11"/>
  <c r="W50" i="11"/>
  <c r="X50" i="11"/>
  <c r="Y50" i="11"/>
  <c r="Z50" i="11"/>
  <c r="AA50" i="11"/>
  <c r="F14" i="10"/>
  <c r="G14" i="10"/>
  <c r="H14" i="10"/>
  <c r="I14" i="10"/>
  <c r="J14" i="10"/>
  <c r="K14" i="10"/>
  <c r="L14" i="10"/>
  <c r="M14" i="10"/>
  <c r="N14" i="10"/>
  <c r="O14" i="10"/>
  <c r="P14" i="10"/>
  <c r="Q14" i="10"/>
  <c r="R14" i="10"/>
  <c r="S14" i="10"/>
  <c r="T14" i="10"/>
  <c r="U14" i="10"/>
  <c r="V14" i="10"/>
  <c r="W14" i="10"/>
  <c r="X14" i="10"/>
  <c r="Y14" i="10"/>
  <c r="Z14" i="10"/>
  <c r="AA14" i="10"/>
  <c r="F15" i="10"/>
  <c r="G15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S18" i="10"/>
  <c r="T18" i="10"/>
  <c r="U18" i="10"/>
  <c r="V18" i="10"/>
  <c r="W18" i="10"/>
  <c r="X18" i="10"/>
  <c r="Y18" i="10"/>
  <c r="Z18" i="10"/>
  <c r="AA18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W19" i="10"/>
  <c r="X19" i="10"/>
  <c r="Y19" i="10"/>
  <c r="Z19" i="10"/>
  <c r="AA19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R20" i="10"/>
  <c r="S20" i="10"/>
  <c r="T20" i="10"/>
  <c r="U20" i="10"/>
  <c r="V20" i="10"/>
  <c r="W20" i="10"/>
  <c r="X20" i="10"/>
  <c r="Y20" i="10"/>
  <c r="Z20" i="10"/>
  <c r="AA20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R21" i="10"/>
  <c r="S21" i="10"/>
  <c r="T21" i="10"/>
  <c r="U21" i="10"/>
  <c r="V21" i="10"/>
  <c r="W21" i="10"/>
  <c r="X21" i="10"/>
  <c r="Y21" i="10"/>
  <c r="Z21" i="10"/>
  <c r="AA21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R23" i="10"/>
  <c r="S23" i="10"/>
  <c r="T23" i="10"/>
  <c r="U23" i="10"/>
  <c r="V23" i="10"/>
  <c r="W23" i="10"/>
  <c r="X23" i="10"/>
  <c r="Y23" i="10"/>
  <c r="Z23" i="10"/>
  <c r="AA23" i="10"/>
  <c r="F42" i="10"/>
  <c r="G42" i="10"/>
  <c r="H42" i="10"/>
  <c r="I42" i="10"/>
  <c r="J42" i="10"/>
  <c r="K42" i="10"/>
  <c r="L42" i="10"/>
  <c r="M42" i="10"/>
  <c r="N42" i="10"/>
  <c r="O42" i="10"/>
  <c r="P42" i="10"/>
  <c r="Q42" i="10"/>
  <c r="R42" i="10"/>
  <c r="S42" i="10"/>
  <c r="T42" i="10"/>
  <c r="U42" i="10"/>
  <c r="V42" i="10"/>
  <c r="W42" i="10"/>
  <c r="X42" i="10"/>
  <c r="Y42" i="10"/>
  <c r="Z42" i="10"/>
  <c r="AA42" i="10"/>
  <c r="F43" i="10"/>
  <c r="G43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R45" i="10"/>
  <c r="S45" i="10"/>
  <c r="T45" i="10"/>
  <c r="U45" i="10"/>
  <c r="V45" i="10"/>
  <c r="W45" i="10"/>
  <c r="X45" i="10"/>
  <c r="Y45" i="10"/>
  <c r="Z45" i="10"/>
  <c r="AA45" i="10"/>
  <c r="G48" i="10"/>
  <c r="H48" i="10"/>
  <c r="I48" i="10"/>
  <c r="J48" i="10"/>
  <c r="K48" i="10"/>
  <c r="L48" i="10"/>
  <c r="M48" i="10"/>
  <c r="N48" i="10"/>
  <c r="O48" i="10"/>
  <c r="P48" i="10"/>
  <c r="Q48" i="10"/>
  <c r="R48" i="10"/>
  <c r="S48" i="10"/>
  <c r="T48" i="10"/>
  <c r="U48" i="10"/>
  <c r="V48" i="10"/>
  <c r="W48" i="10"/>
  <c r="X48" i="10"/>
  <c r="Y48" i="10"/>
  <c r="Z48" i="10"/>
  <c r="AA48" i="10"/>
  <c r="D49" i="10"/>
  <c r="F49" i="10"/>
  <c r="G49" i="10"/>
  <c r="H49" i="10"/>
  <c r="I49" i="10"/>
  <c r="J49" i="10"/>
  <c r="K49" i="10"/>
  <c r="L49" i="10"/>
  <c r="M49" i="10"/>
  <c r="N49" i="10"/>
  <c r="O49" i="10"/>
  <c r="P49" i="10"/>
  <c r="Q49" i="10"/>
  <c r="R49" i="10"/>
  <c r="S49" i="10"/>
  <c r="T49" i="10"/>
  <c r="U49" i="10"/>
  <c r="V49" i="10"/>
  <c r="W49" i="10"/>
  <c r="X49" i="10"/>
  <c r="Y49" i="10"/>
  <c r="Z49" i="10"/>
  <c r="AA49" i="10"/>
  <c r="F50" i="10"/>
  <c r="G50" i="10"/>
  <c r="H50" i="10"/>
  <c r="I50" i="10"/>
  <c r="J50" i="10"/>
  <c r="K50" i="10"/>
  <c r="L50" i="10"/>
  <c r="M50" i="10"/>
  <c r="N50" i="10"/>
  <c r="O50" i="10"/>
  <c r="P50" i="10"/>
  <c r="Q50" i="10"/>
  <c r="R50" i="10"/>
  <c r="S50" i="10"/>
  <c r="T50" i="10"/>
  <c r="U50" i="10"/>
  <c r="V50" i="10"/>
  <c r="W50" i="10"/>
  <c r="X50" i="10"/>
  <c r="Y50" i="10"/>
  <c r="Z50" i="10"/>
  <c r="AA50" i="10"/>
  <c r="F51" i="10"/>
  <c r="G51" i="10"/>
  <c r="H51" i="10"/>
  <c r="I51" i="10"/>
  <c r="J51" i="10"/>
  <c r="K51" i="10"/>
  <c r="L51" i="10"/>
  <c r="M51" i="10"/>
  <c r="N51" i="10"/>
  <c r="O51" i="10"/>
  <c r="P51" i="10"/>
  <c r="Q51" i="10"/>
  <c r="R51" i="10"/>
  <c r="S51" i="10"/>
  <c r="T51" i="10"/>
  <c r="U51" i="10"/>
  <c r="V51" i="10"/>
  <c r="W51" i="10"/>
  <c r="X51" i="10"/>
  <c r="Y51" i="10"/>
  <c r="Z51" i="10"/>
  <c r="AA51" i="10"/>
  <c r="D54" i="10"/>
  <c r="D56" i="10"/>
  <c r="F57" i="10"/>
  <c r="G57" i="10"/>
  <c r="H57" i="10"/>
  <c r="I57" i="10"/>
  <c r="J57" i="10"/>
  <c r="K57" i="10"/>
  <c r="L57" i="10"/>
  <c r="M57" i="10"/>
  <c r="N57" i="10"/>
  <c r="O57" i="10"/>
  <c r="P57" i="10"/>
  <c r="Q57" i="10"/>
  <c r="R57" i="10"/>
  <c r="S57" i="10"/>
  <c r="T57" i="10"/>
  <c r="U57" i="10"/>
  <c r="V57" i="10"/>
  <c r="W57" i="10"/>
  <c r="X57" i="10"/>
  <c r="Y57" i="10"/>
  <c r="Z57" i="10"/>
  <c r="AA57" i="10"/>
  <c r="G59" i="10"/>
  <c r="H59" i="10"/>
  <c r="I59" i="10"/>
  <c r="J59" i="10"/>
  <c r="K59" i="10"/>
  <c r="L59" i="10"/>
  <c r="M59" i="10"/>
  <c r="N59" i="10"/>
  <c r="O59" i="10"/>
  <c r="P59" i="10"/>
  <c r="Q59" i="10"/>
  <c r="R59" i="10"/>
  <c r="S59" i="10"/>
  <c r="T59" i="10"/>
  <c r="U59" i="10"/>
  <c r="V59" i="10"/>
  <c r="W59" i="10"/>
  <c r="X59" i="10"/>
  <c r="Y59" i="10"/>
  <c r="Z59" i="10"/>
  <c r="AA59" i="10"/>
  <c r="F60" i="10"/>
  <c r="G60" i="10"/>
  <c r="H60" i="10"/>
  <c r="I60" i="10"/>
  <c r="J60" i="10"/>
  <c r="K60" i="10"/>
  <c r="L60" i="10"/>
  <c r="M60" i="10"/>
  <c r="N60" i="10"/>
  <c r="O60" i="10"/>
  <c r="P60" i="10"/>
  <c r="Q60" i="10"/>
  <c r="R60" i="10"/>
  <c r="S60" i="10"/>
  <c r="T60" i="10"/>
  <c r="U60" i="10"/>
  <c r="V60" i="10"/>
  <c r="W60" i="10"/>
  <c r="X60" i="10"/>
  <c r="Y60" i="10"/>
  <c r="Z60" i="10"/>
  <c r="AA60" i="10"/>
  <c r="F61" i="10"/>
  <c r="G61" i="10"/>
  <c r="H61" i="10"/>
  <c r="I61" i="10"/>
  <c r="J61" i="10"/>
  <c r="K61" i="10"/>
  <c r="L61" i="10"/>
  <c r="M61" i="10"/>
  <c r="N61" i="10"/>
  <c r="O61" i="10"/>
  <c r="P61" i="10"/>
  <c r="Q61" i="10"/>
  <c r="R61" i="10"/>
  <c r="S61" i="10"/>
  <c r="T61" i="10"/>
  <c r="U61" i="10"/>
  <c r="V61" i="10"/>
  <c r="W61" i="10"/>
  <c r="X61" i="10"/>
  <c r="Y61" i="10"/>
  <c r="Z61" i="10"/>
  <c r="AA61" i="10"/>
  <c r="F64" i="10"/>
  <c r="G64" i="10"/>
  <c r="H64" i="10"/>
  <c r="I64" i="10"/>
  <c r="J64" i="10"/>
  <c r="K64" i="10"/>
  <c r="L64" i="10"/>
  <c r="M64" i="10"/>
  <c r="N64" i="10"/>
  <c r="O64" i="10"/>
  <c r="P64" i="10"/>
  <c r="Q64" i="10"/>
  <c r="R64" i="10"/>
  <c r="S64" i="10"/>
  <c r="T64" i="10"/>
  <c r="U64" i="10"/>
  <c r="V64" i="10"/>
  <c r="W64" i="10"/>
  <c r="X64" i="10"/>
  <c r="Y64" i="10"/>
  <c r="Z64" i="10"/>
  <c r="AA64" i="10"/>
  <c r="F66" i="10"/>
  <c r="G66" i="10"/>
  <c r="H66" i="10"/>
  <c r="I66" i="10"/>
  <c r="J66" i="10"/>
  <c r="K66" i="10"/>
  <c r="L66" i="10"/>
  <c r="M66" i="10"/>
  <c r="N66" i="10"/>
  <c r="O66" i="10"/>
  <c r="P66" i="10"/>
  <c r="Q66" i="10"/>
  <c r="R66" i="10"/>
  <c r="S66" i="10"/>
  <c r="T66" i="10"/>
  <c r="U66" i="10"/>
  <c r="V66" i="10"/>
  <c r="W66" i="10"/>
  <c r="X66" i="10"/>
  <c r="Y66" i="10"/>
  <c r="Z66" i="10"/>
  <c r="AA66" i="10"/>
  <c r="F67" i="10"/>
  <c r="G67" i="10"/>
  <c r="H67" i="10"/>
  <c r="I67" i="10"/>
  <c r="J67" i="10"/>
  <c r="K67" i="10"/>
  <c r="L67" i="10"/>
  <c r="M67" i="10"/>
  <c r="N67" i="10"/>
  <c r="O67" i="10"/>
  <c r="P67" i="10"/>
  <c r="Q67" i="10"/>
  <c r="R67" i="10"/>
  <c r="S67" i="10"/>
  <c r="T67" i="10"/>
  <c r="U67" i="10"/>
  <c r="V67" i="10"/>
  <c r="W67" i="10"/>
  <c r="X67" i="10"/>
  <c r="Y67" i="10"/>
  <c r="Z67" i="10"/>
  <c r="AA67" i="10"/>
  <c r="F69" i="10"/>
  <c r="G69" i="10"/>
  <c r="H69" i="10"/>
  <c r="I69" i="10"/>
  <c r="J69" i="10"/>
  <c r="K69" i="10"/>
  <c r="L69" i="10"/>
  <c r="M69" i="10"/>
  <c r="N69" i="10"/>
  <c r="O69" i="10"/>
  <c r="P69" i="10"/>
  <c r="Q69" i="10"/>
  <c r="R69" i="10"/>
  <c r="S69" i="10"/>
  <c r="T69" i="10"/>
  <c r="U69" i="10"/>
  <c r="V69" i="10"/>
  <c r="W69" i="10"/>
  <c r="X69" i="10"/>
  <c r="Y69" i="10"/>
  <c r="Z69" i="10"/>
  <c r="AA69" i="10"/>
  <c r="F70" i="10"/>
  <c r="G70" i="10"/>
  <c r="H70" i="10"/>
  <c r="I70" i="10"/>
  <c r="J70" i="10"/>
  <c r="K70" i="10"/>
  <c r="L70" i="10"/>
  <c r="M70" i="10"/>
  <c r="N70" i="10"/>
  <c r="O70" i="10"/>
  <c r="P70" i="10"/>
  <c r="Q70" i="10"/>
  <c r="R70" i="10"/>
  <c r="S70" i="10"/>
  <c r="T70" i="10"/>
  <c r="U70" i="10"/>
  <c r="V70" i="10"/>
  <c r="W70" i="10"/>
  <c r="X70" i="10"/>
  <c r="Y70" i="10"/>
  <c r="Z70" i="10"/>
  <c r="AA70" i="10"/>
  <c r="F72" i="10"/>
  <c r="G72" i="10"/>
  <c r="H72" i="10"/>
  <c r="I72" i="10"/>
  <c r="J72" i="10"/>
  <c r="K72" i="10"/>
  <c r="L72" i="10"/>
  <c r="M72" i="10"/>
  <c r="N72" i="10"/>
  <c r="O72" i="10"/>
  <c r="P72" i="10"/>
  <c r="Q72" i="10"/>
  <c r="R72" i="10"/>
  <c r="S72" i="10"/>
  <c r="T72" i="10"/>
  <c r="U72" i="10"/>
  <c r="V72" i="10"/>
  <c r="W72" i="10"/>
  <c r="X72" i="10"/>
  <c r="Y72" i="10"/>
  <c r="Z72" i="10"/>
  <c r="AA72" i="10"/>
  <c r="F73" i="10"/>
  <c r="G73" i="10"/>
  <c r="H73" i="10"/>
  <c r="I73" i="10"/>
  <c r="J73" i="10"/>
  <c r="K73" i="10"/>
  <c r="L73" i="10"/>
  <c r="M73" i="10"/>
  <c r="N73" i="10"/>
  <c r="O73" i="10"/>
  <c r="P73" i="10"/>
  <c r="Q73" i="10"/>
  <c r="R73" i="10"/>
  <c r="S73" i="10"/>
  <c r="T73" i="10"/>
  <c r="U73" i="10"/>
  <c r="V73" i="10"/>
  <c r="W73" i="10"/>
  <c r="X73" i="10"/>
  <c r="Y73" i="10"/>
  <c r="Z73" i="10"/>
  <c r="AA73" i="10"/>
  <c r="F74" i="10"/>
  <c r="G74" i="10"/>
  <c r="H74" i="10"/>
  <c r="I74" i="10"/>
  <c r="J74" i="10"/>
  <c r="K74" i="10"/>
  <c r="L74" i="10"/>
  <c r="M74" i="10"/>
  <c r="N74" i="10"/>
  <c r="O74" i="10"/>
  <c r="P74" i="10"/>
  <c r="Q74" i="10"/>
  <c r="R74" i="10"/>
  <c r="S74" i="10"/>
  <c r="T74" i="10"/>
  <c r="U74" i="10"/>
  <c r="V74" i="10"/>
  <c r="W74" i="10"/>
  <c r="X74" i="10"/>
  <c r="Y74" i="10"/>
  <c r="Z74" i="10"/>
  <c r="AA74" i="1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<sst xmlns="http://schemas.openxmlformats.org/spreadsheetml/2006/main" count="425" uniqueCount="325">
  <si>
    <t>Features</t>
  </si>
  <si>
    <t>Model Details</t>
  </si>
  <si>
    <t>Company name</t>
  </si>
  <si>
    <t>Date</t>
  </si>
  <si>
    <t>Currency</t>
  </si>
  <si>
    <t>Units</t>
  </si>
  <si>
    <t>Analyst Name</t>
  </si>
  <si>
    <t>Circular Switch</t>
  </si>
  <si>
    <t>Firstname Lastname</t>
  </si>
  <si>
    <t>This document is for training purposes only. Financial Edge accepts no responsibility or liability for any other purpose or usage.</t>
  </si>
  <si>
    <t>Formatting</t>
  </si>
  <si>
    <t>Input</t>
  </si>
  <si>
    <t>Hard coded</t>
  </si>
  <si>
    <t>Formulas</t>
  </si>
  <si>
    <t>Tab Structure</t>
  </si>
  <si>
    <t>Renewable Energy Modeling</t>
  </si>
  <si>
    <t>GBP</t>
  </si>
  <si>
    <t>Thousands</t>
  </si>
  <si>
    <t>General</t>
  </si>
  <si>
    <t>Costs</t>
  </si>
  <si>
    <t>Percentage ramp-up in 1st year of operations</t>
  </si>
  <si>
    <t>%</t>
  </si>
  <si>
    <t>Plant Capacity</t>
  </si>
  <si>
    <t>MW</t>
  </si>
  <si>
    <t>Turbine efficiency</t>
  </si>
  <si>
    <t>Days</t>
  </si>
  <si>
    <t>Initial Exchange rate</t>
  </si>
  <si>
    <t>% per year</t>
  </si>
  <si>
    <t>Depreciation per year</t>
  </si>
  <si>
    <t>Debt financing (%)</t>
  </si>
  <si>
    <t>Debt (Senior)</t>
  </si>
  <si>
    <t>Debt (Junior)</t>
  </si>
  <si>
    <t>Credit margin Senior</t>
  </si>
  <si>
    <t>Interest rate Senior</t>
  </si>
  <si>
    <t>Credit margin Junior</t>
  </si>
  <si>
    <t>Interest rate Junior</t>
  </si>
  <si>
    <t>Weighted average cost of debt</t>
  </si>
  <si>
    <t>Deposit rate</t>
  </si>
  <si>
    <t>Target minimum LLCR</t>
  </si>
  <si>
    <t>Target minimum Interest Cover Ratio</t>
  </si>
  <si>
    <t>Tax</t>
  </si>
  <si>
    <t>Tax rate</t>
  </si>
  <si>
    <t>% EBITDA</t>
  </si>
  <si>
    <t>End</t>
  </si>
  <si>
    <t xml:space="preserve">Inflation </t>
  </si>
  <si>
    <t>Offtaker 1 name</t>
  </si>
  <si>
    <t>Offtaker 2 name</t>
  </si>
  <si>
    <t>Government</t>
  </si>
  <si>
    <t>HEC energy</t>
  </si>
  <si>
    <t>Pricing</t>
  </si>
  <si>
    <t>Working capital</t>
  </si>
  <si>
    <t>Customers</t>
  </si>
  <si>
    <t>£</t>
  </si>
  <si>
    <t>Industrial price in real terms per MWh</t>
  </si>
  <si>
    <t>Purchase currency</t>
  </si>
  <si>
    <t>USD</t>
  </si>
  <si>
    <t>Sussex wind</t>
  </si>
  <si>
    <t>Debt</t>
  </si>
  <si>
    <t>Capex starts in year ending</t>
  </si>
  <si>
    <t>Timing</t>
  </si>
  <si>
    <t>Repayment period after grace period - Senior</t>
  </si>
  <si>
    <t>Repayment period after grace period - Junior</t>
  </si>
  <si>
    <t xml:space="preserve">Base interest rate </t>
  </si>
  <si>
    <t>Interest deductibility restriction (thin cap rules)</t>
  </si>
  <si>
    <t>Dividend condition: DSCR minimum</t>
  </si>
  <si>
    <t>Flags</t>
  </si>
  <si>
    <t>Inflation</t>
  </si>
  <si>
    <t>Inflation index with base of 1</t>
  </si>
  <si>
    <t>Capacity</t>
  </si>
  <si>
    <t>Ramp up</t>
  </si>
  <si>
    <t>Max MW</t>
  </si>
  <si>
    <t>Outage - forced</t>
  </si>
  <si>
    <t>Outage - scheduled</t>
  </si>
  <si>
    <t>Days per year</t>
  </si>
  <si>
    <t>Hours per day</t>
  </si>
  <si>
    <t>Hours</t>
  </si>
  <si>
    <t>Hrs/yr</t>
  </si>
  <si>
    <t>Max operational hrs</t>
  </si>
  <si>
    <t>Available hrs</t>
  </si>
  <si>
    <t>Efficiency</t>
  </si>
  <si>
    <t>Achieved MWh</t>
  </si>
  <si>
    <t>Achieved total capacity MW</t>
  </si>
  <si>
    <t>Electricity sales - Industrial</t>
  </si>
  <si>
    <t>Sales - Industrial MWh</t>
  </si>
  <si>
    <t>Sales - HEC energy MWh</t>
  </si>
  <si>
    <t>Sales - Government Mwh</t>
  </si>
  <si>
    <t xml:space="preserve">Sales - Government </t>
  </si>
  <si>
    <t xml:space="preserve">Sales - HEC energy </t>
  </si>
  <si>
    <t xml:space="preserve">Sales - Industrial </t>
  </si>
  <si>
    <t>Total revenue</t>
  </si>
  <si>
    <t>Revenue</t>
  </si>
  <si>
    <t>Electricity revenue</t>
  </si>
  <si>
    <t>Capacity charge - debt service</t>
  </si>
  <si>
    <t>Capacity charge - fixed costs</t>
  </si>
  <si>
    <t>Capacity charge revenue</t>
  </si>
  <si>
    <t>Variable costs % of electricity revenues</t>
  </si>
  <si>
    <t>Fixed costs</t>
  </si>
  <si>
    <t>Offtaker capacity charge agreement - Debt service</t>
  </si>
  <si>
    <t>Offtaker capacity charge agreement - Fixed costs</t>
  </si>
  <si>
    <t>% Cover</t>
  </si>
  <si>
    <t>Variable costs</t>
  </si>
  <si>
    <t>Prices - Government per MWh</t>
  </si>
  <si>
    <t>Prices - HEC energy per MWh</t>
  </si>
  <si>
    <t>Prices - Industrial per MWh</t>
  </si>
  <si>
    <t>Real price</t>
  </si>
  <si>
    <t>Real cost</t>
  </si>
  <si>
    <t>Total costs</t>
  </si>
  <si>
    <t>Outputs and ratios</t>
  </si>
  <si>
    <t>EBITDA</t>
  </si>
  <si>
    <t>Average revenue per MWh</t>
  </si>
  <si>
    <t>EBITDA margin</t>
  </si>
  <si>
    <t>Grace period</t>
  </si>
  <si>
    <t>Ending</t>
  </si>
  <si>
    <t>Capex year</t>
  </si>
  <si>
    <t>Capex % of total in year 1</t>
  </si>
  <si>
    <t>Capex % of total in year 2</t>
  </si>
  <si>
    <t>Capex % of total</t>
  </si>
  <si>
    <t>Overrun</t>
  </si>
  <si>
    <t>Initial rate</t>
  </si>
  <si>
    <t>FX rate index</t>
  </si>
  <si>
    <t>Installed capacity</t>
  </si>
  <si>
    <t>Capex per MW with overrun</t>
  </si>
  <si>
    <t>Capex for installed capacity</t>
  </si>
  <si>
    <t>Depreciation</t>
  </si>
  <si>
    <t>PPE at net book value</t>
  </si>
  <si>
    <t>Equity financing</t>
  </si>
  <si>
    <t>Equity finance added</t>
  </si>
  <si>
    <t>Equity finance ending</t>
  </si>
  <si>
    <t>Equity finance beginning</t>
  </si>
  <si>
    <t>Max equity</t>
  </si>
  <si>
    <t>Equity finance remaining</t>
  </si>
  <si>
    <t xml:space="preserve">Equity </t>
  </si>
  <si>
    <t>Debt financing required</t>
  </si>
  <si>
    <t>Senior debt</t>
  </si>
  <si>
    <t>Junior debt</t>
  </si>
  <si>
    <t>Profit before tax</t>
  </si>
  <si>
    <t>Interest income</t>
  </si>
  <si>
    <t>Interest expense</t>
  </si>
  <si>
    <t>Thin capitalisation/BEPs</t>
  </si>
  <si>
    <t>Net operating losses (NOLs)</t>
  </si>
  <si>
    <t>Profit after tax</t>
  </si>
  <si>
    <t>Taxable profits</t>
  </si>
  <si>
    <t>Cash</t>
  </si>
  <si>
    <t>Receivables</t>
  </si>
  <si>
    <t>PPE</t>
  </si>
  <si>
    <t>Total assets</t>
  </si>
  <si>
    <t>Tax payable</t>
  </si>
  <si>
    <t>Trade payables</t>
  </si>
  <si>
    <t>Total liabilities</t>
  </si>
  <si>
    <t>Equity</t>
  </si>
  <si>
    <t>Total liabilities and equity</t>
  </si>
  <si>
    <t>Check</t>
  </si>
  <si>
    <t>Operating cashflows</t>
  </si>
  <si>
    <t>Capex</t>
  </si>
  <si>
    <t>Investing cashflows</t>
  </si>
  <si>
    <t>Senior debt issuance/repayment</t>
  </si>
  <si>
    <t>Junior debt issuance/repayment</t>
  </si>
  <si>
    <t>Equity issuance</t>
  </si>
  <si>
    <t>Balance sheet calculations</t>
  </si>
  <si>
    <t>Balance sheet</t>
  </si>
  <si>
    <t>Retained earnings</t>
  </si>
  <si>
    <t>Beginning retained earnings</t>
  </si>
  <si>
    <t>Ending retained earnings</t>
  </si>
  <si>
    <t>Net income</t>
  </si>
  <si>
    <t>Dividends</t>
  </si>
  <si>
    <t>Financing cashflows</t>
  </si>
  <si>
    <t>Net cashflow</t>
  </si>
  <si>
    <t>Opening cash</t>
  </si>
  <si>
    <t>Ending cash</t>
  </si>
  <si>
    <t>Interest during construction (IDC)</t>
  </si>
  <si>
    <t>IDC senior debt</t>
  </si>
  <si>
    <t>IDC junior debt</t>
  </si>
  <si>
    <t>Int rate</t>
  </si>
  <si>
    <t>Senior debt drawn</t>
  </si>
  <si>
    <t>Senior debt drawdown</t>
  </si>
  <si>
    <t>Junior debt drawdown</t>
  </si>
  <si>
    <t>Junior debt  drawn</t>
  </si>
  <si>
    <t>Total IDC</t>
  </si>
  <si>
    <t>Total need</t>
  </si>
  <si>
    <t>Funding split calculation</t>
  </si>
  <si>
    <t>IDC (interest added to PPE)</t>
  </si>
  <si>
    <t>Beginning PPE</t>
  </si>
  <si>
    <t>Total capex</t>
  </si>
  <si>
    <t>Debt financing &amp; IDC</t>
  </si>
  <si>
    <t>Beginning cash</t>
  </si>
  <si>
    <t>Beginning senior debt</t>
  </si>
  <si>
    <t>Issuance of debt</t>
  </si>
  <si>
    <t>Mandatory repayment</t>
  </si>
  <si>
    <t>Ending senior debt</t>
  </si>
  <si>
    <t>Interest</t>
  </si>
  <si>
    <t xml:space="preserve">Total </t>
  </si>
  <si>
    <t>Beginning junior debt</t>
  </si>
  <si>
    <t>Ending junior debt</t>
  </si>
  <si>
    <t>Issuance of equity</t>
  </si>
  <si>
    <t>Check of debt ending cash to CFS ending cash</t>
  </si>
  <si>
    <t>Total interest expense</t>
  </si>
  <si>
    <t>Total mandatory payments</t>
  </si>
  <si>
    <t>Total debt service</t>
  </si>
  <si>
    <t>DSCR breach</t>
  </si>
  <si>
    <t>Target</t>
  </si>
  <si>
    <t>Dividend covenant flag</t>
  </si>
  <si>
    <t>Min DSCR</t>
  </si>
  <si>
    <t>Interest as a % of EBITDA</t>
  </si>
  <si>
    <t>Disallowed int as a % of EBITDA</t>
  </si>
  <si>
    <t>Limit</t>
  </si>
  <si>
    <t>Extra interest up to allowance</t>
  </si>
  <si>
    <t>Disallowed int beginning</t>
  </si>
  <si>
    <t>Disallowed in year</t>
  </si>
  <si>
    <t>Used in year</t>
  </si>
  <si>
    <t>Disallowed int ending</t>
  </si>
  <si>
    <t>NOL created in year</t>
  </si>
  <si>
    <t>NOL used in year</t>
  </si>
  <si>
    <t>Thin capitalisation adjustment</t>
  </si>
  <si>
    <t>Taxable profit</t>
  </si>
  <si>
    <t>NOL carry fwd beginning</t>
  </si>
  <si>
    <t>NOL carry fwd ending</t>
  </si>
  <si>
    <t>PBT</t>
  </si>
  <si>
    <t>Taxable profits before NOLs</t>
  </si>
  <si>
    <t>Project operational</t>
  </si>
  <si>
    <t>Project ramp up year 1</t>
  </si>
  <si>
    <t>Project capacity %</t>
  </si>
  <si>
    <t>Project capacity MW</t>
  </si>
  <si>
    <t>Project starts in year ending</t>
  </si>
  <si>
    <t>Maximum capacity</t>
  </si>
  <si>
    <t xml:space="preserve">Installed capacity </t>
  </si>
  <si>
    <t>Cash available for distributions</t>
  </si>
  <si>
    <t>Cash available for senior debt</t>
  </si>
  <si>
    <t>Cash available for junior debt</t>
  </si>
  <si>
    <t>Cash taxes</t>
  </si>
  <si>
    <t>Div %</t>
  </si>
  <si>
    <t>CF available for debt service (CFADS)</t>
  </si>
  <si>
    <t>Tax expense</t>
  </si>
  <si>
    <t>Tax paid on profits made in year</t>
  </si>
  <si>
    <t>Tax cashflow on profits made in year</t>
  </si>
  <si>
    <t>Tax cashflow on last year's payable</t>
  </si>
  <si>
    <t>Total tax cashflow</t>
  </si>
  <si>
    <t>Debt cashflows</t>
  </si>
  <si>
    <t xml:space="preserve">DSRA </t>
  </si>
  <si>
    <t>Next year's mandatory debt payments</t>
  </si>
  <si>
    <t>Next year's interest payments</t>
  </si>
  <si>
    <t>DSRA requirement</t>
  </si>
  <si>
    <t>Total funding need</t>
  </si>
  <si>
    <t>Uses</t>
  </si>
  <si>
    <t>Capex/depreciation</t>
  </si>
  <si>
    <t>Cash after financing</t>
  </si>
  <si>
    <t>Cash attracting interest</t>
  </si>
  <si>
    <t>Cashflow check</t>
  </si>
  <si>
    <t>Total cashflows</t>
  </si>
  <si>
    <t>IRR</t>
  </si>
  <si>
    <t>Total DSCR</t>
  </si>
  <si>
    <t>Senior debt DSCR</t>
  </si>
  <si>
    <t>Senior debt service</t>
  </si>
  <si>
    <t>Debt grace period ends</t>
  </si>
  <si>
    <t>Overall DSCR</t>
  </si>
  <si>
    <t>Individual debt tranche DSCR</t>
  </si>
  <si>
    <t>Junior debt service</t>
  </si>
  <si>
    <t>Junior debt DSCR</t>
  </si>
  <si>
    <t>Cashflow available for senior debt</t>
  </si>
  <si>
    <t>Cashflow available for junior debt</t>
  </si>
  <si>
    <t>CFADS</t>
  </si>
  <si>
    <t>Minimum total DSCR</t>
  </si>
  <si>
    <t>Minimum senior debt DSCR</t>
  </si>
  <si>
    <t>Minimum junior debtDSCR</t>
  </si>
  <si>
    <t>LLCR</t>
  </si>
  <si>
    <t>NPV of CFADS</t>
  </si>
  <si>
    <t>Outstanding loan balances</t>
  </si>
  <si>
    <t>LLCR breach</t>
  </si>
  <si>
    <t>Interest cover</t>
  </si>
  <si>
    <t>Interest cover breach</t>
  </si>
  <si>
    <t>Breaches of any covenant</t>
  </si>
  <si>
    <t>Any breaches</t>
  </si>
  <si>
    <t># Breaches</t>
  </si>
  <si>
    <t>Breaches</t>
  </si>
  <si>
    <t>Returns</t>
  </si>
  <si>
    <t>% Debt</t>
  </si>
  <si>
    <t>P90</t>
  </si>
  <si>
    <t>P50</t>
  </si>
  <si>
    <t>Sensitivity data tables</t>
  </si>
  <si>
    <t>Target IRR</t>
  </si>
  <si>
    <t>Assumptions</t>
  </si>
  <si>
    <t>Outputs</t>
  </si>
  <si>
    <t>Dividend Payout % of cash available for distributions</t>
  </si>
  <si>
    <t>Sources and uses summary</t>
  </si>
  <si>
    <t>Debt Serv Res Acc buildup</t>
  </si>
  <si>
    <t>Total uses</t>
  </si>
  <si>
    <t>Equity issued</t>
  </si>
  <si>
    <t>Senior debt drawndown</t>
  </si>
  <si>
    <t>Junior debt drawndown</t>
  </si>
  <si>
    <t>Total sources</t>
  </si>
  <si>
    <t>FX rate GBP/1USD</t>
  </si>
  <si>
    <t>DSCR/LLCR/IC measured</t>
  </si>
  <si>
    <t>Outage - scheduled hrs</t>
  </si>
  <si>
    <t>Outage - forced hrs</t>
  </si>
  <si>
    <t>NOL adjustment</t>
  </si>
  <si>
    <t>Fixed costs in real terms (not including depreciation)</t>
  </si>
  <si>
    <t>% Tax paid during year</t>
  </si>
  <si>
    <t>% Tax paid next year</t>
  </si>
  <si>
    <t>Payables</t>
  </si>
  <si>
    <t>Assumptions and outputs</t>
  </si>
  <si>
    <t>Operations</t>
  </si>
  <si>
    <t>Sources and uses</t>
  </si>
  <si>
    <t>P&amp;L and tax</t>
  </si>
  <si>
    <t>Cashflow statement</t>
  </si>
  <si>
    <t>Yr end</t>
  </si>
  <si>
    <t>% Total</t>
  </si>
  <si>
    <t>% Elec rev</t>
  </si>
  <si>
    <t>Int during construction (IDC)</t>
  </si>
  <si>
    <t>% Cost</t>
  </si>
  <si>
    <t>% Capacity</t>
  </si>
  <si>
    <t>Years</t>
  </si>
  <si>
    <t>% Per yr</t>
  </si>
  <si>
    <t>Sensitivity of IRR to P90/50 scenarios and debt levels</t>
  </si>
  <si>
    <t>Sensitivity of total breaches to P90/50 scenarios and debt levels</t>
  </si>
  <si>
    <t>Cost of debt</t>
  </si>
  <si>
    <t>Capex per MW  in USD 000s</t>
  </si>
  <si>
    <t>Real</t>
  </si>
  <si>
    <t>% Capex</t>
  </si>
  <si>
    <t>Capex (including IDC)</t>
  </si>
  <si>
    <t>Capex per MW of capacity in real terms</t>
  </si>
  <si>
    <t>Capex per MW in GBP 000s</t>
  </si>
  <si>
    <t>Change/yr</t>
  </si>
  <si>
    <t>Change in trade payables</t>
  </si>
  <si>
    <t>Change in receivables</t>
  </si>
  <si>
    <t>Line that will be deferred</t>
  </si>
  <si>
    <t>Circular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</si>
</sst>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(* #,##0_);_(* \(#,##0\);_(* &quot;-&quot;_);_(@_)"/>
    <numFmt numFmtId="165" formatCode="_(* #,##0.00_);_(* \(#,##0.00\);_(* &quot;-&quot;??_);_(@_)"/>
    <numFmt numFmtId="166" formatCode="_(&quot;£&quot;* #,##0_);_(&quot;£&quot;* \(#,##0\);_(&quot;£&quot;* &quot;-&quot;_);_(@_)"/>
    <numFmt numFmtId="167" formatCode="_(&quot;£&quot;* #,##0.00_);_(&quot;£&quot;* \(#,##0.00\);_(&quot;£&quot;* &quot;-&quot;??_);_(@_)"/>
    <numFmt numFmtId="168" formatCode="[$-409]d\-mmm\-yy;@"/>
    <numFmt numFmtId="169" formatCode="0.0"/>
    <numFmt numFmtId="170" formatCode="#,##0.0_);\(#,##0.0\)\,0.0_);@_)"/>
    <numFmt numFmtId="171" formatCode="#,##0.0\ \x_);\(#,##0.0\ \x\);"/>
    <numFmt numFmtId="172" formatCode="0.0%_);\(0.0%\)"/>
    <numFmt numFmtId="173" formatCode=";;;"/>
    <numFmt numFmtId="174" formatCode="#,##0.0_);\(#,##0.0\);0.0_);@_)"/>
    <numFmt numFmtId="175" formatCode="#,##0_);\(#,##0\);0_);@_)"/>
    <numFmt numFmtId="176" formatCode="#,##0.0_);\(##,###.\)\,0.0_);@_ⴆ"/>
    <numFmt numFmtId="177" formatCode="#,##0.00_);\(#,##0.00\)\,0.0_);@_)"/>
    <numFmt numFmtId="178" formatCode="0.0%"/>
    <numFmt numFmtId="179" formatCode="#,##0.00\ \x_);\(#,##0.00\ \x\);"/>
    <numFmt numFmtId="180" formatCode="#,##0.00_);\(#,##0.00\);0.00_);@_)"/>
    <numFmt numFmtId="181" formatCode="#,##0.000_);\(#,##0.000\);0.000_);@_)"/>
    <numFmt numFmtId="182" formatCode="#,##0.0%_);\(#,##0.0%\)"/>
    <numFmt numFmtId="183" formatCode="&quot;Year &quot;#,##0_);\(#,##0.0\);0.0_);@_)"/>
  </numFmts>
  <fonts count="43" x14ac:knownFonts="1">
    <font>
      <sz val="11"/>
      <color theme="1" tint="0.2499465926084170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rgb="FF085393"/>
      <name val="Calibri"/>
      <family val="2"/>
      <scheme val="minor"/>
    </font>
    <font>
      <sz val="22"/>
      <color theme="0"/>
      <name val="Calibri Light"/>
      <family val="2"/>
      <scheme val="major"/>
    </font>
    <font>
      <sz val="2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 tint="0.2499465926084170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8"/>
      <color theme="0"/>
      <name val="Calibri"/>
      <family val="2"/>
      <scheme val="minor"/>
    </font>
    <font>
      <i/>
      <sz val="11"/>
      <color rgb="FF085393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b/>
      <sz val="16"/>
      <color rgb="FF163260"/>
      <name val="Calibri"/>
      <family val="2"/>
      <scheme val="minor"/>
    </font>
    <font>
      <sz val="11"/>
      <color rgb="FF000000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  <border>
      <left/>
      <right/>
      <top style="thin">
        <color indexed="64"/>
      </top>
      <bottom/>
      <diagonal/>
    </border>
  </borders>
  <cellStyleXfs count="67">
    <xf numFmtId="174" fontId="0" fillId="0" borderId="0"/>
    <xf numFmtId="0" fontId="6" fillId="0" borderId="0" applyNumberForma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5" applyNumberFormat="0" applyAlignment="0" applyProtection="0"/>
    <xf numFmtId="0" fontId="18" fillId="10" borderId="6" applyNumberFormat="0" applyAlignment="0" applyProtection="0"/>
    <xf numFmtId="0" fontId="19" fillId="10" borderId="5" applyNumberFormat="0" applyAlignment="0" applyProtection="0"/>
    <xf numFmtId="0" fontId="20" fillId="0" borderId="7" applyNumberFormat="0" applyFill="0" applyAlignment="0" applyProtection="0"/>
    <xf numFmtId="0" fontId="21" fillId="11" borderId="8" applyNumberFormat="0" applyAlignment="0" applyProtection="0"/>
    <xf numFmtId="0" fontId="22" fillId="0" borderId="0" applyNumberFormat="0" applyFill="0" applyBorder="0" applyAlignment="0" applyProtection="0"/>
    <xf numFmtId="0" fontId="9" fillId="12" borderId="9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5" fillId="36" borderId="0" applyNumberFormat="0" applyBorder="0" applyAlignment="0" applyProtection="0"/>
    <xf numFmtId="0" fontId="32" fillId="2" borderId="0" applyNumberFormat="0">
      <alignment horizontal="left"/>
    </xf>
    <xf numFmtId="0" fontId="8" fillId="3" borderId="0" applyNumberFormat="0" applyAlignment="0">
      <alignment horizontal="left"/>
    </xf>
    <xf numFmtId="0" fontId="4" fillId="0" borderId="0" applyNumberFormat="0" applyFill="0" applyBorder="0">
      <alignment horizontal="left" vertical="center"/>
    </xf>
    <xf numFmtId="0" fontId="2" fillId="5" borderId="0" applyNumberFormat="0" applyFont="0" applyAlignment="0" applyProtection="0">
      <alignment vertical="top"/>
    </xf>
    <xf numFmtId="168" fontId="28" fillId="3" borderId="0">
      <alignment horizontal="center"/>
    </xf>
    <xf numFmtId="170" fontId="27" fillId="2" borderId="0">
      <alignment horizontal="center"/>
    </xf>
    <xf numFmtId="170" fontId="3" fillId="0" borderId="0">
      <alignment vertical="top"/>
    </xf>
    <xf numFmtId="168" fontId="29" fillId="0" borderId="0" applyFont="0" applyFill="0" applyBorder="0" applyAlignment="0" applyProtection="0"/>
    <xf numFmtId="171" fontId="9" fillId="0" borderId="0" applyFont="0" applyFill="0" applyBorder="0" applyAlignment="0" applyProtection="0"/>
    <xf numFmtId="172" fontId="29" fillId="2" borderId="0" applyFont="0" applyFill="0" applyBorder="0" applyAlignment="0" applyProtection="0"/>
    <xf numFmtId="170" fontId="30" fillId="2" borderId="0" applyNumberFormat="0" applyFill="0" applyBorder="0" applyAlignment="0" applyProtection="0"/>
    <xf numFmtId="170" fontId="31" fillId="0" borderId="0" applyNumberFormat="0" applyFill="0" applyBorder="0" applyAlignment="0">
      <alignment vertical="top"/>
    </xf>
    <xf numFmtId="173" fontId="29" fillId="2" borderId="0" applyFont="0" applyFill="0" applyBorder="0" applyAlignment="0" applyProtection="0"/>
    <xf numFmtId="171" fontId="30" fillId="37" borderId="11" applyNumberFormat="0">
      <protection locked="0"/>
    </xf>
    <xf numFmtId="0" fontId="2" fillId="5" borderId="12" applyFont="0" applyAlignment="0" applyProtection="0">
      <alignment vertical="top"/>
    </xf>
    <xf numFmtId="170" fontId="32" fillId="3" borderId="0" applyNumberFormat="0" applyBorder="0">
      <alignment horizontal="center" vertical="top"/>
    </xf>
    <xf numFmtId="170" fontId="3" fillId="38" borderId="0" applyNumberFormat="0" applyFont="0" applyBorder="0" applyAlignment="0" applyProtection="0">
      <alignment vertical="top"/>
    </xf>
    <xf numFmtId="0" fontId="33" fillId="0" borderId="0"/>
    <xf numFmtId="171" fontId="30" fillId="37" borderId="11" applyNumberFormat="0">
      <protection locked="0"/>
    </xf>
  </cellStyleXfs>
  <cellXfs count="120">
    <xf numFmtId="174" fontId="0" fillId="0" borderId="0" xfId="0"/>
    <xf numFmtId="174" fontId="2" fillId="5" borderId="0" xfId="0" applyFont="1" applyFill="1"/>
    <xf numFmtId="174" fontId="2" fillId="4" borderId="0" xfId="0" applyFont="1" applyFill="1"/>
    <xf numFmtId="174" fontId="2" fillId="5" borderId="0" xfId="0" applyFont="1" applyFill="1" applyAlignment="1">
      <alignment vertical="top" wrapText="1"/>
    </xf>
    <xf numFmtId="174" fontId="2" fillId="5" borderId="1" xfId="0" applyFont="1" applyFill="1" applyBorder="1" applyAlignment="1">
      <alignment vertical="top"/>
    </xf>
    <xf numFmtId="170" fontId="32" fillId="2" borderId="0" xfId="48" applyNumberFormat="1">
      <alignment horizontal="left"/>
    </xf>
    <xf numFmtId="174" fontId="25" fillId="2" borderId="0" xfId="0" applyFont="1" applyFill="1"/>
    <xf numFmtId="174" fontId="26" fillId="3" borderId="0" xfId="0" applyFont="1" applyFill="1"/>
    <xf numFmtId="174" fontId="3" fillId="5" borderId="0" xfId="0" applyFont="1" applyFill="1" applyAlignment="1">
      <alignment horizontal="center" vertical="top"/>
    </xf>
    <xf numFmtId="174" fontId="3" fillId="5" borderId="0" xfId="0" applyFont="1" applyFill="1" applyAlignment="1">
      <alignment vertical="top"/>
    </xf>
    <xf numFmtId="174" fontId="25" fillId="2" borderId="0" xfId="0" applyFont="1" applyFill="1" applyAlignment="1">
      <alignment vertical="center"/>
    </xf>
    <xf numFmtId="168" fontId="28" fillId="3" borderId="0" xfId="52">
      <alignment horizontal="center"/>
    </xf>
    <xf numFmtId="170" fontId="27" fillId="2" borderId="0" xfId="53">
      <alignment horizontal="center"/>
    </xf>
    <xf numFmtId="170" fontId="32" fillId="2" borderId="0" xfId="48" applyNumberFormat="1" applyAlignment="1"/>
    <xf numFmtId="170" fontId="8" fillId="3" borderId="0" xfId="49" applyNumberFormat="1" applyAlignment="1"/>
    <xf numFmtId="170" fontId="4" fillId="0" borderId="0" xfId="50" applyNumberFormat="1">
      <alignment horizontal="left" vertical="center"/>
    </xf>
    <xf numFmtId="170" fontId="3" fillId="0" borderId="0" xfId="54">
      <alignment vertical="top"/>
    </xf>
    <xf numFmtId="174" fontId="2" fillId="5" borderId="0" xfId="0" applyFont="1" applyFill="1" applyAlignment="1">
      <alignment horizontal="left" vertical="top"/>
    </xf>
    <xf numFmtId="174" fontId="2" fillId="5" borderId="0" xfId="0" applyFont="1" applyFill="1" applyAlignment="1">
      <alignment vertical="top"/>
    </xf>
    <xf numFmtId="174" fontId="2" fillId="0" borderId="0" xfId="0" applyFont="1" applyAlignment="1">
      <alignment vertical="top" wrapText="1"/>
    </xf>
    <xf numFmtId="174" fontId="3" fillId="0" borderId="0" xfId="0" applyFont="1" applyAlignment="1">
      <alignment vertical="top"/>
    </xf>
    <xf numFmtId="174" fontId="2" fillId="0" borderId="0" xfId="0" applyFont="1" applyAlignment="1">
      <alignment horizontal="left" wrapText="1"/>
    </xf>
    <xf numFmtId="174" fontId="2" fillId="0" borderId="0" xfId="0" applyFont="1" applyAlignment="1">
      <alignment vertical="top"/>
    </xf>
    <xf numFmtId="174" fontId="2" fillId="0" borderId="0" xfId="0" applyFont="1"/>
    <xf numFmtId="174" fontId="4" fillId="0" borderId="0" xfId="0" applyFont="1" applyAlignment="1">
      <alignment vertical="center"/>
    </xf>
    <xf numFmtId="174" fontId="5" fillId="0" borderId="0" xfId="0" applyFont="1" applyAlignment="1">
      <alignment vertical="center" wrapText="1"/>
    </xf>
    <xf numFmtId="174" fontId="2" fillId="0" borderId="0" xfId="0" applyFont="1" applyAlignment="1">
      <alignment horizontal="left" vertical="top"/>
    </xf>
    <xf numFmtId="174" fontId="3" fillId="0" borderId="0" xfId="0" applyFont="1" applyAlignment="1">
      <alignment horizontal="center" vertical="top"/>
    </xf>
    <xf numFmtId="174" fontId="7" fillId="0" borderId="0" xfId="0" applyFont="1" applyAlignment="1">
      <alignment vertical="center" wrapText="1"/>
    </xf>
    <xf numFmtId="168" fontId="2" fillId="0" borderId="0" xfId="0" applyNumberFormat="1" applyFont="1" applyAlignment="1">
      <alignment horizontal="left"/>
    </xf>
    <xf numFmtId="174" fontId="2" fillId="0" borderId="0" xfId="0" applyFont="1" applyAlignment="1">
      <alignment horizontal="left"/>
    </xf>
    <xf numFmtId="169" fontId="2" fillId="0" borderId="0" xfId="0" applyNumberFormat="1" applyFont="1" applyAlignment="1">
      <alignment horizontal="left"/>
    </xf>
    <xf numFmtId="174" fontId="3" fillId="0" borderId="0" xfId="0" applyFont="1" applyAlignment="1">
      <alignment horizontal="left" vertical="top"/>
    </xf>
    <xf numFmtId="174" fontId="3" fillId="0" borderId="0" xfId="0" applyFont="1"/>
    <xf numFmtId="174" fontId="25" fillId="0" borderId="0" xfId="0" applyFont="1"/>
    <xf numFmtId="174" fontId="26" fillId="0" borderId="0" xfId="0" applyFont="1"/>
    <xf numFmtId="170" fontId="30" fillId="0" borderId="0" xfId="58" applyFill="1" applyBorder="1" applyAlignment="1">
      <alignment vertical="top"/>
    </xf>
    <xf numFmtId="170" fontId="2" fillId="5" borderId="0" xfId="51" applyNumberFormat="1" applyFont="1" applyAlignment="1">
      <alignment horizontal="left" vertical="top"/>
    </xf>
    <xf numFmtId="170" fontId="3" fillId="5" borderId="0" xfId="51" applyNumberFormat="1" applyFont="1" applyAlignment="1">
      <alignment horizontal="center" vertical="top"/>
    </xf>
    <xf numFmtId="170" fontId="2" fillId="5" borderId="0" xfId="51" applyNumberFormat="1" applyFont="1" applyAlignment="1"/>
    <xf numFmtId="170" fontId="5" fillId="5" borderId="0" xfId="51" applyNumberFormat="1" applyFont="1" applyAlignment="1">
      <alignment vertical="center" wrapText="1"/>
    </xf>
    <xf numFmtId="170" fontId="2" fillId="5" borderId="0" xfId="51" applyNumberFormat="1" applyFont="1" applyAlignment="1">
      <alignment vertical="top"/>
    </xf>
    <xf numFmtId="0" fontId="2" fillId="5" borderId="12" xfId="62" applyFont="1" applyAlignment="1">
      <alignment vertical="top"/>
    </xf>
    <xf numFmtId="0" fontId="3" fillId="5" borderId="12" xfId="62" applyFont="1" applyAlignment="1">
      <alignment horizontal="center" vertical="top"/>
    </xf>
    <xf numFmtId="0" fontId="2" fillId="5" borderId="12" xfId="62" applyFont="1" applyAlignment="1"/>
    <xf numFmtId="0" fontId="5" fillId="5" borderId="12" xfId="62" applyFont="1" applyAlignment="1">
      <alignment vertical="center" wrapText="1"/>
    </xf>
    <xf numFmtId="174" fontId="25" fillId="0" borderId="0" xfId="0" applyFont="1" applyAlignment="1">
      <alignment vertical="center"/>
    </xf>
    <xf numFmtId="170" fontId="7" fillId="5" borderId="0" xfId="51" applyNumberFormat="1" applyFont="1" applyAlignment="1">
      <alignment vertical="center" wrapText="1"/>
    </xf>
    <xf numFmtId="0" fontId="3" fillId="5" borderId="12" xfId="62" applyFont="1" applyAlignment="1"/>
    <xf numFmtId="0" fontId="2" fillId="5" borderId="12" xfId="62" applyFont="1" applyAlignment="1">
      <alignment horizontal="left"/>
    </xf>
    <xf numFmtId="0" fontId="7" fillId="5" borderId="12" xfId="62" applyFont="1" applyAlignment="1">
      <alignment horizontal="center" vertical="center" wrapText="1"/>
    </xf>
    <xf numFmtId="0" fontId="7" fillId="5" borderId="12" xfId="62" applyFont="1" applyAlignment="1">
      <alignment vertical="center" wrapText="1"/>
    </xf>
    <xf numFmtId="170" fontId="30" fillId="37" borderId="11" xfId="61" applyNumberFormat="1">
      <protection locked="0"/>
    </xf>
    <xf numFmtId="170" fontId="2" fillId="0" borderId="0" xfId="51" applyNumberFormat="1" applyFont="1" applyFill="1" applyAlignment="1"/>
    <xf numFmtId="174" fontId="0" fillId="5" borderId="0" xfId="51" applyNumberFormat="1" applyFont="1" applyAlignment="1"/>
    <xf numFmtId="174" fontId="2" fillId="5" borderId="0" xfId="51" applyNumberFormat="1" applyFont="1" applyAlignment="1">
      <alignment vertical="top"/>
    </xf>
    <xf numFmtId="0" fontId="0" fillId="5" borderId="12" xfId="62" applyFont="1" applyAlignment="1"/>
    <xf numFmtId="174" fontId="4" fillId="5" borderId="0" xfId="51" applyNumberFormat="1" applyFont="1" applyAlignment="1">
      <alignment vertical="center"/>
    </xf>
    <xf numFmtId="0" fontId="3" fillId="5" borderId="12" xfId="62" applyFont="1" applyAlignment="1">
      <alignment horizontal="left" vertical="top"/>
    </xf>
    <xf numFmtId="175" fontId="4" fillId="0" borderId="0" xfId="50" applyNumberFormat="1">
      <alignment horizontal="left" vertical="center"/>
    </xf>
    <xf numFmtId="172" fontId="30" fillId="37" borderId="11" xfId="57" applyFont="1" applyFill="1" applyBorder="1" applyProtection="1">
      <protection locked="0"/>
    </xf>
    <xf numFmtId="176" fontId="30" fillId="37" borderId="11" xfId="66" applyNumberFormat="1">
      <protection locked="0"/>
    </xf>
    <xf numFmtId="1" fontId="0" fillId="0" borderId="0" xfId="0" applyNumberFormat="1"/>
    <xf numFmtId="14" fontId="0" fillId="0" borderId="0" xfId="0" applyNumberFormat="1"/>
    <xf numFmtId="170" fontId="30" fillId="37" borderId="11" xfId="66" applyNumberFormat="1">
      <protection locked="0"/>
    </xf>
    <xf numFmtId="172" fontId="0" fillId="0" borderId="0" xfId="57" applyFont="1" applyFill="1"/>
    <xf numFmtId="177" fontId="30" fillId="37" borderId="11" xfId="66" applyNumberFormat="1">
      <protection locked="0"/>
    </xf>
    <xf numFmtId="172" fontId="0" fillId="0" borderId="0" xfId="57" applyFont="1" applyFill="1" applyBorder="1"/>
    <xf numFmtId="170" fontId="4" fillId="0" borderId="0" xfId="50" applyNumberFormat="1" applyFill="1">
      <alignment horizontal="left" vertical="center"/>
    </xf>
    <xf numFmtId="175" fontId="4" fillId="0" borderId="0" xfId="50" applyNumberFormat="1" applyFill="1">
      <alignment horizontal="left" vertical="center"/>
    </xf>
    <xf numFmtId="172" fontId="30" fillId="37" borderId="11" xfId="61" applyNumberFormat="1">
      <protection locked="0"/>
    </xf>
    <xf numFmtId="178" fontId="0" fillId="0" borderId="0" xfId="0" applyNumberFormat="1"/>
    <xf numFmtId="179" fontId="30" fillId="37" borderId="11" xfId="56" applyNumberFormat="1" applyFont="1" applyFill="1" applyBorder="1" applyProtection="1">
      <protection locked="0"/>
    </xf>
    <xf numFmtId="171" fontId="30" fillId="37" borderId="11" xfId="56" applyFont="1" applyFill="1" applyBorder="1" applyProtection="1">
      <protection locked="0"/>
    </xf>
    <xf numFmtId="171" fontId="30" fillId="37" borderId="11" xfId="61">
      <protection locked="0"/>
    </xf>
    <xf numFmtId="170" fontId="30" fillId="0" borderId="11" xfId="66" applyNumberFormat="1" applyFill="1">
      <protection locked="0"/>
    </xf>
    <xf numFmtId="168" fontId="30" fillId="37" borderId="11" xfId="55" applyFont="1" applyFill="1" applyBorder="1" applyProtection="1">
      <protection locked="0"/>
    </xf>
    <xf numFmtId="174" fontId="35" fillId="0" borderId="0" xfId="0" applyFont="1"/>
    <xf numFmtId="174" fontId="30" fillId="37" borderId="11" xfId="66" applyNumberFormat="1">
      <protection locked="0"/>
    </xf>
    <xf numFmtId="168" fontId="0" fillId="0" borderId="0" xfId="55" applyFont="1"/>
    <xf numFmtId="172" fontId="30" fillId="37" borderId="11" xfId="66" applyNumberFormat="1">
      <protection locked="0"/>
    </xf>
    <xf numFmtId="174" fontId="37" fillId="0" borderId="0" xfId="0" applyFont="1"/>
    <xf numFmtId="174" fontId="4" fillId="0" borderId="0" xfId="50" applyNumberFormat="1">
      <alignment horizontal="left" vertical="center"/>
    </xf>
    <xf numFmtId="174" fontId="30" fillId="0" borderId="0" xfId="58" applyNumberFormat="1" applyFill="1"/>
    <xf numFmtId="174" fontId="38" fillId="2" borderId="0" xfId="0" applyFont="1" applyFill="1" applyAlignment="1">
      <alignment vertical="center"/>
    </xf>
    <xf numFmtId="170" fontId="39" fillId="0" borderId="0" xfId="54" applyFont="1">
      <alignment vertical="top"/>
    </xf>
    <xf numFmtId="180" fontId="0" fillId="0" borderId="0" xfId="0" applyNumberFormat="1"/>
    <xf numFmtId="174" fontId="0" fillId="0" borderId="13" xfId="0" applyBorder="1"/>
    <xf numFmtId="181" fontId="0" fillId="0" borderId="0" xfId="0" applyNumberFormat="1"/>
    <xf numFmtId="168" fontId="0" fillId="0" borderId="0" xfId="55" applyFont="1" applyBorder="1"/>
    <xf numFmtId="174" fontId="0" fillId="39" borderId="0" xfId="0" applyFill="1"/>
    <xf numFmtId="172" fontId="36" fillId="0" borderId="0" xfId="57" applyFont="1" applyFill="1"/>
    <xf numFmtId="172" fontId="3" fillId="0" borderId="0" xfId="57" applyFont="1" applyFill="1" applyAlignment="1">
      <alignment vertical="top"/>
    </xf>
    <xf numFmtId="172" fontId="0" fillId="39" borderId="0" xfId="57" applyFont="1" applyFill="1"/>
    <xf numFmtId="174" fontId="0" fillId="40" borderId="0" xfId="0" applyFill="1"/>
    <xf numFmtId="175" fontId="0" fillId="0" borderId="0" xfId="0" applyNumberFormat="1"/>
    <xf numFmtId="174" fontId="4" fillId="0" borderId="0" xfId="50" applyNumberFormat="1" applyFill="1">
      <alignment horizontal="left" vertical="center"/>
    </xf>
    <xf numFmtId="168" fontId="30" fillId="37" borderId="11" xfId="66" applyNumberFormat="1">
      <protection locked="0"/>
    </xf>
    <xf numFmtId="174" fontId="40" fillId="0" borderId="0" xfId="0" applyFont="1"/>
    <xf numFmtId="174" fontId="41" fillId="0" borderId="0" xfId="50" applyNumberFormat="1" applyFont="1">
      <alignment horizontal="left" vertical="center"/>
    </xf>
    <xf numFmtId="182" fontId="0" fillId="0" borderId="0" xfId="0" applyNumberFormat="1"/>
    <xf numFmtId="183" fontId="0" fillId="0" borderId="0" xfId="0" applyNumberFormat="1"/>
    <xf numFmtId="172" fontId="27" fillId="2" borderId="0" xfId="57" applyFont="1" applyAlignment="1">
      <alignment horizontal="center"/>
    </xf>
    <xf numFmtId="168" fontId="36" fillId="0" borderId="0" xfId="55" applyFont="1"/>
    <xf numFmtId="170" fontId="2" fillId="39" borderId="0" xfId="51" applyNumberFormat="1" applyFont="1" applyFill="1" applyAlignment="1"/>
    <xf numFmtId="170" fontId="2" fillId="40" borderId="0" xfId="51" applyNumberFormat="1" applyFont="1" applyFill="1" applyAlignment="1"/>
    <xf numFmtId="172" fontId="42" fillId="0" borderId="0" xfId="57" applyFont="1" applyFill="1"/>
    <xf numFmtId="170" fontId="32" fillId="2" borderId="0" xfId="48" applyNumberFormat="1" applyAlignment="1">
      <alignment horizontal="center"/>
    </xf>
    <xf numFmtId="174" fontId="5" fillId="0" borderId="0" xfId="0" applyFont="1" applyAlignment="1">
      <alignment horizontal="center" vertical="center" wrapText="1"/>
    </xf>
    <xf numFmtId="170" fontId="2" fillId="5" borderId="0" xfId="51" applyNumberFormat="1" applyFont="1" applyAlignment="1">
      <alignment horizontal="left" vertical="top"/>
    </xf>
    <xf numFmtId="170" fontId="32" fillId="3" borderId="0" xfId="49" applyNumberFormat="1" applyFont="1" applyAlignment="1">
      <alignment horizontal="center" vertical="center"/>
    </xf>
    <xf numFmtId="170" fontId="31" fillId="5" borderId="0" xfId="59" applyNumberFormat="1" applyFill="1" applyBorder="1" applyAlignment="1">
      <alignment horizontal="center" vertical="center" wrapText="1"/>
    </xf>
    <xf numFmtId="174" fontId="7" fillId="0" borderId="0" xfId="0" applyFont="1" applyAlignment="1">
      <alignment horizontal="center" vertical="center" wrapText="1"/>
    </xf>
    <xf numFmtId="174" fontId="0" fillId="5" borderId="0" xfId="51" applyNumberFormat="1" applyFont="1" applyAlignment="1">
      <alignment horizontal="left"/>
    </xf>
    <xf numFmtId="174" fontId="4" fillId="5" borderId="0" xfId="0" applyFont="1" applyFill="1" applyAlignment="1">
      <alignment horizontal="left" vertical="center"/>
    </xf>
    <xf numFmtId="174" fontId="4" fillId="5" borderId="0" xfId="50" applyNumberFormat="1" applyFill="1">
      <alignment horizontal="left" vertical="center"/>
    </xf>
    <xf numFmtId="170" fontId="2" fillId="5" borderId="0" xfId="51" applyNumberFormat="1" applyFont="1" applyAlignment="1">
      <alignment horizontal="left"/>
    </xf>
    <xf numFmtId="168" fontId="2" fillId="5" borderId="0" xfId="51" applyNumberFormat="1" applyFont="1" applyAlignment="1">
      <alignment horizontal="left"/>
    </xf>
    <xf numFmtId="169" fontId="2" fillId="5" borderId="0" xfId="51" applyNumberFormat="1" applyFont="1" applyAlignment="1">
      <alignment horizontal="left"/>
    </xf>
    <xf numFmtId="174" fontId="34" fillId="5" borderId="0" xfId="51" applyNumberFormat="1" applyFont="1" applyAlignment="1">
      <alignment horizontal="left"/>
    </xf>
  </cellXfs>
  <cellStyles count="67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ackground Fill" xfId="51" xr:uid="{00000000-0005-0000-0000-000018000000}"/>
    <cellStyle name="Bad" xfId="13" builtinId="27" hidden="1"/>
    <cellStyle name="BG Border" xfId="62" xr:uid="{00000000-0005-0000-0000-00001A000000}"/>
    <cellStyle name="Blank" xfId="60" xr:uid="{00000000-0005-0000-0000-00001B000000}"/>
    <cellStyle name="Calculation" xfId="17" builtinId="22" hidden="1"/>
    <cellStyle name="Check Cell" xfId="19" builtinId="23" hidden="1"/>
    <cellStyle name="Comma" xfId="2" builtinId="3" hidden="1"/>
    <cellStyle name="Comma [0]" xfId="3" builtinId="6" hidden="1"/>
    <cellStyle name="Cover Title" xfId="63" xr:uid="{00000000-0005-0000-0000-000020000000}"/>
    <cellStyle name="Currency" xfId="4" builtinId="4" hidden="1"/>
    <cellStyle name="Currency [0]" xfId="5" builtinId="7" hidden="1"/>
    <cellStyle name="Date" xfId="55" xr:uid="{00000000-0005-0000-0000-000023000000}"/>
    <cellStyle name="Date Heading" xfId="52" xr:uid="{00000000-0005-0000-0000-000024000000}"/>
    <cellStyle name="Explanatory Text" xfId="22" builtinId="53" hidden="1"/>
    <cellStyle name="Good" xfId="12" builtinId="26" hidden="1"/>
    <cellStyle name="Hard Coded Number" xfId="58" xr:uid="{00000000-0005-0000-0000-000027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ighlight" xfId="64" xr:uid="{00000000-0005-0000-0000-00002C000000}"/>
    <cellStyle name="Hist Proj Title" xfId="53" xr:uid="{00000000-0005-0000-0000-00002D000000}"/>
    <cellStyle name="Hyperlink" xfId="1" builtinId="8" hidden="1" customBuiltin="1"/>
    <cellStyle name="Input" xfId="15" builtinId="20" hidden="1"/>
    <cellStyle name="Input" xfId="61" builtinId="20" customBuiltin="1"/>
    <cellStyle name="Input 2" xfId="66" xr:uid="{27836D72-5E17-409C-B1B5-DD9DB150ADBC}"/>
    <cellStyle name="Linked Cell" xfId="18" builtinId="24" hidden="1"/>
    <cellStyle name="Multiple" xfId="56" xr:uid="{00000000-0005-0000-0000-000033000000}"/>
    <cellStyle name="Neutral" xfId="14" builtinId="28" hidden="1"/>
    <cellStyle name="Normal" xfId="0" builtinId="0" customBuiltin="1"/>
    <cellStyle name="Normal 2" xfId="65" xr:uid="{00000000-0005-0000-0000-000036000000}"/>
    <cellStyle name="Note" xfId="21" builtinId="10" hidden="1"/>
    <cellStyle name="Notes and Comments" xfId="59" xr:uid="{00000000-0005-0000-0000-000038000000}"/>
    <cellStyle name="Output" xfId="16" builtinId="21" hidden="1"/>
    <cellStyle name="Per cent" xfId="6" builtinId="5" hidden="1"/>
    <cellStyle name="Per cent" xfId="57" builtinId="5" customBuiltin="1"/>
    <cellStyle name="Primary Title" xfId="48" xr:uid="{00000000-0005-0000-0000-00003C000000}"/>
    <cellStyle name="Row Label" xfId="54" xr:uid="{00000000-0005-0000-0000-00003D000000}"/>
    <cellStyle name="Secondary Title" xfId="49" xr:uid="{00000000-0005-0000-0000-00003E000000}"/>
    <cellStyle name="Tertiary Title" xfId="50" xr:uid="{00000000-0005-0000-0000-00003F000000}"/>
    <cellStyle name="Title" xfId="7" builtinId="15" hidden="1"/>
    <cellStyle name="Total" xfId="23" builtinId="25" hidden="1"/>
    <cellStyle name="Warning Text" xfId="20" builtinId="11" hidden="1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63260"/>
      <color rgb="FF085393"/>
      <color rgb="FFBBDEFB"/>
      <color rgb="FFF0F8FE"/>
      <color rgb="FF0000FF"/>
      <color rgb="FFEBF1FB"/>
      <color rgb="FFD3E0F5"/>
      <color rgb="FFC9D9F3"/>
      <color rgb="FFE2F1FE"/>
      <color rgb="FFC4E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1019175</xdr:rowOff>
    </xdr:from>
    <xdr:to>
      <xdr:col>9</xdr:col>
      <xdr:colOff>457200</xdr:colOff>
      <xdr:row>0</xdr:row>
      <xdr:rowOff>1503980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019175"/>
          <a:ext cx="3533775" cy="48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1931713</xdr:colOff>
      <xdr:row>0</xdr:row>
      <xdr:rowOff>123826</xdr:rowOff>
    </xdr:from>
    <xdr:to>
      <xdr:col>16</xdr:col>
      <xdr:colOff>161849</xdr:colOff>
      <xdr:row>0</xdr:row>
      <xdr:rowOff>466726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7738" y="123826"/>
          <a:ext cx="401836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showGridLines="0" zoomScale="130" zoomScaleNormal="130" workbookViewId="0">
      <selection sqref="A1:N1"/>
    </sheetView>
  </sheetViews>
  <sheetFormatPr defaultColWidth="9.1328125" defaultRowHeight="14.25" x14ac:dyDescent="0.45"/>
  <cols>
    <col min="1" max="1" width="9.86328125" customWidth="1"/>
    <col min="2" max="13" width="9.1328125" customWidth="1"/>
    <col min="14" max="14" width="9.86328125" customWidth="1"/>
    <col min="15" max="26" width="9.1328125" customWidth="1"/>
  </cols>
  <sheetData>
    <row r="1" spans="1:14" s="34" customFormat="1" ht="189.75" customHeight="1" x14ac:dyDescent="0.85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4" s="22" customFormat="1" ht="75" customHeight="1" x14ac:dyDescent="0.45">
      <c r="A2" s="110" t="s">
        <v>15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</row>
    <row r="3" spans="1:14" s="23" customFormat="1" ht="7.5" customHeight="1" x14ac:dyDescent="0.45">
      <c r="B3" s="24"/>
      <c r="C3" s="24"/>
      <c r="F3" s="25"/>
      <c r="G3" s="25"/>
      <c r="H3" s="25"/>
      <c r="I3" s="25"/>
      <c r="J3" s="25"/>
      <c r="K3" s="25"/>
    </row>
    <row r="4" spans="1:14" s="23" customFormat="1" ht="15" customHeight="1" x14ac:dyDescent="0.45">
      <c r="A4" s="37"/>
      <c r="B4" s="38"/>
      <c r="C4" s="109"/>
      <c r="D4" s="109"/>
      <c r="E4" s="39"/>
      <c r="F4" s="40"/>
      <c r="G4" s="40"/>
      <c r="H4" s="40"/>
      <c r="I4" s="40"/>
      <c r="J4" s="40"/>
      <c r="K4" s="40"/>
      <c r="L4" s="39"/>
      <c r="M4" s="39"/>
      <c r="N4" s="39"/>
    </row>
    <row r="5" spans="1:14" s="23" customFormat="1" ht="15" customHeight="1" x14ac:dyDescent="0.45">
      <c r="A5" s="111" t="s">
        <v>9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</row>
    <row r="6" spans="1:14" s="23" customFormat="1" ht="15" customHeight="1" x14ac:dyDescent="0.45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</row>
    <row r="7" spans="1:14" s="23" customFormat="1" ht="15" customHeight="1" x14ac:dyDescent="0.45">
      <c r="A7" s="111" t="str">
        <f ca="1">"© "&amp;YEAR(TODAY())&amp;" Financial Edge Training "</f>
        <v xml:space="preserve">© 2024 Financial Edge Training 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</row>
    <row r="8" spans="1:14" s="23" customFormat="1" ht="15" customHeight="1" thickBot="1" x14ac:dyDescent="0.5">
      <c r="A8" s="42"/>
      <c r="B8" s="43"/>
      <c r="C8" s="42"/>
      <c r="D8" s="42"/>
      <c r="E8" s="44"/>
      <c r="F8" s="45"/>
      <c r="G8" s="45"/>
      <c r="H8" s="45"/>
      <c r="I8" s="45"/>
      <c r="J8" s="45"/>
      <c r="K8" s="45"/>
      <c r="L8" s="44"/>
      <c r="M8" s="44"/>
      <c r="N8" s="44"/>
    </row>
    <row r="9" spans="1:14" s="23" customFormat="1" ht="15" customHeight="1" x14ac:dyDescent="0.45">
      <c r="F9" s="28"/>
      <c r="G9" s="112"/>
      <c r="H9" s="112"/>
      <c r="I9" s="112"/>
      <c r="J9" s="112"/>
      <c r="K9" s="28"/>
    </row>
    <row r="10" spans="1:14" s="23" customFormat="1" ht="15" customHeight="1" x14ac:dyDescent="0.45">
      <c r="B10" s="24"/>
      <c r="C10" s="24"/>
      <c r="F10" s="28"/>
      <c r="G10" s="112"/>
      <c r="H10" s="112"/>
      <c r="I10" s="112"/>
      <c r="J10" s="112"/>
      <c r="K10" s="28"/>
    </row>
    <row r="11" spans="1:14" s="23" customFormat="1" ht="15" customHeight="1" x14ac:dyDescent="0.45">
      <c r="B11" s="20"/>
      <c r="C11" s="20"/>
      <c r="D11" s="21"/>
      <c r="F11" s="25"/>
      <c r="G11" s="25"/>
      <c r="H11" s="25"/>
      <c r="I11" s="25"/>
      <c r="J11" s="25"/>
      <c r="K11" s="25"/>
    </row>
    <row r="12" spans="1:14" s="23" customFormat="1" ht="15" customHeight="1" x14ac:dyDescent="0.45">
      <c r="A12" s="26"/>
      <c r="B12" s="20"/>
      <c r="C12" s="20"/>
      <c r="D12" s="29"/>
      <c r="F12" s="25"/>
      <c r="G12" s="108"/>
      <c r="H12" s="108"/>
      <c r="I12" s="108"/>
      <c r="J12" s="108"/>
      <c r="K12" s="25"/>
    </row>
    <row r="13" spans="1:14" s="23" customFormat="1" ht="15" customHeight="1" x14ac:dyDescent="0.45">
      <c r="A13" s="19"/>
      <c r="B13" s="20"/>
      <c r="C13" s="20"/>
      <c r="D13" s="30"/>
      <c r="F13" s="25"/>
      <c r="G13" s="108"/>
      <c r="H13" s="108"/>
      <c r="I13" s="108"/>
      <c r="J13" s="108"/>
      <c r="K13" s="25"/>
    </row>
    <row r="14" spans="1:14" s="23" customFormat="1" ht="15" customHeight="1" x14ac:dyDescent="0.45">
      <c r="A14" s="22"/>
      <c r="B14" s="20"/>
      <c r="C14" s="20"/>
      <c r="D14" s="30"/>
      <c r="F14" s="25"/>
      <c r="G14" s="108"/>
      <c r="H14" s="108"/>
      <c r="I14" s="108"/>
      <c r="J14" s="108"/>
      <c r="K14" s="25"/>
    </row>
    <row r="15" spans="1:14" s="23" customFormat="1" ht="15" customHeight="1" x14ac:dyDescent="0.45">
      <c r="A15" s="22"/>
      <c r="B15" s="20"/>
      <c r="C15" s="20"/>
      <c r="D15" s="30"/>
      <c r="F15" s="25"/>
      <c r="G15" s="25"/>
      <c r="H15" s="25"/>
      <c r="I15" s="25"/>
      <c r="J15" s="25"/>
      <c r="K15" s="25"/>
    </row>
    <row r="16" spans="1:14" s="23" customFormat="1" ht="15" customHeight="1" x14ac:dyDescent="0.45">
      <c r="A16" s="22"/>
      <c r="B16" s="20"/>
      <c r="C16" s="20"/>
      <c r="D16" s="31"/>
      <c r="F16" s="25"/>
      <c r="G16" s="108"/>
      <c r="H16" s="108"/>
      <c r="I16" s="108"/>
      <c r="J16" s="108"/>
      <c r="K16" s="25"/>
    </row>
    <row r="17" spans="1:11" s="23" customFormat="1" ht="15" customHeight="1" x14ac:dyDescent="0.45">
      <c r="A17" s="22"/>
      <c r="B17" s="32"/>
      <c r="C17" s="33"/>
      <c r="D17" s="31"/>
      <c r="F17" s="25"/>
      <c r="G17" s="25"/>
      <c r="H17" s="25"/>
      <c r="I17" s="25"/>
      <c r="J17" s="25"/>
      <c r="K17" s="25"/>
    </row>
    <row r="18" spans="1:11" ht="15" customHeight="1" x14ac:dyDescent="0.45"/>
  </sheetData>
  <mergeCells count="8">
    <mergeCell ref="A1:N1"/>
    <mergeCell ref="G16:J16"/>
    <mergeCell ref="G12:J14"/>
    <mergeCell ref="C4:D4"/>
    <mergeCell ref="A2:N2"/>
    <mergeCell ref="A5:N6"/>
    <mergeCell ref="A7:N7"/>
    <mergeCell ref="G9:J10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0"/>
  <sheetViews>
    <sheetView showGridLines="0" zoomScale="130" zoomScaleNormal="130" workbookViewId="0">
      <selection activeCell="N10" sqref="N10:Q10"/>
    </sheetView>
  </sheetViews>
  <sheetFormatPr defaultColWidth="9.1328125" defaultRowHeight="14.25" x14ac:dyDescent="0.45"/>
  <cols>
    <col min="1" max="1" width="1.46484375" customWidth="1"/>
    <col min="2" max="2" width="2.86328125" customWidth="1"/>
    <col min="3" max="3" width="13.1328125" customWidth="1"/>
    <col min="4" max="4" width="2.86328125" customWidth="1"/>
    <col min="5" max="7" width="1.46484375" customWidth="1"/>
    <col min="8" max="8" width="2.86328125" customWidth="1"/>
    <col min="9" max="9" width="42.86328125" customWidth="1"/>
    <col min="10" max="11" width="1.46484375" customWidth="1"/>
    <col min="12" max="12" width="15.53125" bestFit="1" customWidth="1"/>
    <col min="13" max="14" width="1.46484375" customWidth="1"/>
    <col min="15" max="15" width="2.86328125" customWidth="1"/>
    <col min="16" max="16" width="32.53125" customWidth="1"/>
    <col min="17" max="17" width="2.86328125" customWidth="1"/>
    <col min="18" max="18" width="1.46484375" customWidth="1"/>
    <col min="23" max="23" width="17.86328125" bestFit="1" customWidth="1"/>
  </cols>
  <sheetData>
    <row r="1" spans="1:18" s="34" customFormat="1" ht="45" customHeight="1" x14ac:dyDescent="0.85">
      <c r="A1" s="13" t="str">
        <f>Welcome!A2</f>
        <v>Renewable Energy Modeling</v>
      </c>
      <c r="B1" s="13"/>
      <c r="C1" s="13"/>
      <c r="D1" s="13"/>
      <c r="E1" s="13"/>
      <c r="F1" s="13"/>
      <c r="G1" s="13"/>
      <c r="H1" s="13"/>
      <c r="I1" s="13"/>
      <c r="J1" s="6"/>
      <c r="K1" s="6"/>
      <c r="L1" s="6"/>
      <c r="M1" s="6"/>
      <c r="N1" s="6"/>
      <c r="O1" s="6"/>
      <c r="P1" s="6"/>
      <c r="Q1" s="6"/>
      <c r="R1" s="6"/>
    </row>
    <row r="2" spans="1:18" s="35" customFormat="1" ht="30" customHeight="1" x14ac:dyDescent="0.65">
      <c r="A2" s="14" t="str">
        <f ca="1">RIGHT(CELL("filename",A1),LEN(CELL("filename",A1))-SEARCH("]",CELL("filename", A1)))</f>
        <v>Info</v>
      </c>
      <c r="B2" s="14"/>
      <c r="C2" s="14"/>
      <c r="D2" s="14"/>
      <c r="E2" s="14"/>
      <c r="F2" s="14"/>
      <c r="G2" s="14"/>
      <c r="H2" s="14"/>
      <c r="I2" s="14"/>
      <c r="J2" s="7"/>
      <c r="K2" s="7"/>
      <c r="L2" s="7"/>
      <c r="M2" s="7"/>
      <c r="N2" s="7"/>
      <c r="O2" s="7"/>
      <c r="P2" s="7"/>
      <c r="Q2" s="7"/>
      <c r="R2" s="7"/>
    </row>
    <row r="3" spans="1:18" s="2" customFormat="1" ht="7.5" customHeight="1" x14ac:dyDescent="0.45"/>
    <row r="4" spans="1:18" s="2" customFormat="1" ht="22.5" customHeight="1" x14ac:dyDescent="0.45">
      <c r="A4" s="1"/>
      <c r="B4" s="114" t="s">
        <v>0</v>
      </c>
      <c r="C4" s="114"/>
      <c r="D4" s="114"/>
      <c r="E4" s="114"/>
      <c r="F4" s="114"/>
      <c r="G4" s="114"/>
      <c r="H4" s="114"/>
      <c r="I4" s="114"/>
      <c r="K4" s="1"/>
      <c r="L4" s="114" t="s">
        <v>1</v>
      </c>
      <c r="M4" s="114"/>
      <c r="N4" s="114"/>
      <c r="O4" s="114"/>
      <c r="P4" s="114"/>
      <c r="Q4" s="40"/>
      <c r="R4" s="40"/>
    </row>
    <row r="5" spans="1:18" s="2" customFormat="1" ht="15" customHeight="1" x14ac:dyDescent="0.45">
      <c r="A5" s="17"/>
      <c r="B5" s="8"/>
      <c r="C5" s="54"/>
      <c r="D5" s="18"/>
      <c r="E5" s="18"/>
      <c r="F5" s="18"/>
      <c r="G5" s="18"/>
      <c r="H5" s="18"/>
      <c r="I5" s="18"/>
      <c r="K5" s="1"/>
      <c r="L5" s="9" t="s">
        <v>2</v>
      </c>
      <c r="M5" s="9"/>
      <c r="N5" s="116" t="s">
        <v>56</v>
      </c>
      <c r="O5" s="116"/>
      <c r="P5" s="116"/>
      <c r="Q5" s="116"/>
      <c r="R5" s="40"/>
    </row>
    <row r="6" spans="1:18" s="2" customFormat="1" ht="15" customHeight="1" x14ac:dyDescent="0.45">
      <c r="A6" s="3"/>
      <c r="B6" s="8"/>
      <c r="C6" s="18"/>
      <c r="D6" s="18"/>
      <c r="E6" s="18"/>
      <c r="F6" s="18"/>
      <c r="G6" s="18"/>
      <c r="H6" s="18"/>
      <c r="I6" s="18"/>
      <c r="K6" s="17"/>
      <c r="L6" s="9" t="s">
        <v>3</v>
      </c>
      <c r="M6" s="9"/>
      <c r="N6" s="117">
        <v>54788</v>
      </c>
      <c r="O6" s="117"/>
      <c r="P6" s="117"/>
      <c r="Q6" s="117"/>
      <c r="R6" s="40"/>
    </row>
    <row r="7" spans="1:18" s="2" customFormat="1" ht="15" customHeight="1" x14ac:dyDescent="0.45">
      <c r="A7" s="18"/>
      <c r="B7" s="8"/>
      <c r="C7" s="18"/>
      <c r="D7" s="18"/>
      <c r="E7" s="18"/>
      <c r="F7" s="18"/>
      <c r="G7" s="18"/>
      <c r="H7" s="18"/>
      <c r="I7" s="18"/>
      <c r="K7" s="3"/>
      <c r="L7" s="9" t="s">
        <v>4</v>
      </c>
      <c r="M7" s="9"/>
      <c r="N7" s="116" t="s">
        <v>16</v>
      </c>
      <c r="O7" s="116"/>
      <c r="P7" s="116"/>
      <c r="Q7" s="116"/>
      <c r="R7" s="40"/>
    </row>
    <row r="8" spans="1:18" s="2" customFormat="1" ht="15" customHeight="1" x14ac:dyDescent="0.45">
      <c r="A8" s="18"/>
      <c r="B8" s="8"/>
      <c r="C8" s="18"/>
      <c r="D8" s="18"/>
      <c r="E8" s="18"/>
      <c r="F8" s="18"/>
      <c r="G8" s="18"/>
      <c r="H8" s="18"/>
      <c r="I8" s="18"/>
      <c r="K8" s="18"/>
      <c r="L8" s="9" t="s">
        <v>5</v>
      </c>
      <c r="M8" s="9"/>
      <c r="N8" s="116" t="s">
        <v>17</v>
      </c>
      <c r="O8" s="116"/>
      <c r="P8" s="116"/>
      <c r="Q8" s="116"/>
      <c r="R8" s="40"/>
    </row>
    <row r="9" spans="1:18" s="2" customFormat="1" ht="15" customHeight="1" x14ac:dyDescent="0.45">
      <c r="A9" s="41"/>
      <c r="B9" s="8"/>
      <c r="C9" s="18"/>
      <c r="D9" s="41"/>
      <c r="E9" s="41"/>
      <c r="F9" s="41"/>
      <c r="G9" s="41"/>
      <c r="H9" s="41"/>
      <c r="I9" s="41"/>
      <c r="K9" s="18"/>
      <c r="L9" s="9" t="s">
        <v>6</v>
      </c>
      <c r="M9" s="9"/>
      <c r="N9" s="116" t="s">
        <v>8</v>
      </c>
      <c r="O9" s="116"/>
      <c r="P9" s="116"/>
      <c r="Q9" s="116"/>
      <c r="R9" s="40"/>
    </row>
    <row r="10" spans="1:18" s="2" customFormat="1" ht="15" customHeight="1" x14ac:dyDescent="0.45">
      <c r="A10" s="39"/>
      <c r="B10" s="8"/>
      <c r="C10" s="18"/>
      <c r="D10" s="39"/>
      <c r="E10" s="39"/>
      <c r="F10" s="39"/>
      <c r="G10" s="39"/>
      <c r="H10" s="39"/>
      <c r="I10" s="39"/>
      <c r="K10" s="18"/>
      <c r="L10" s="9" t="s">
        <v>7</v>
      </c>
      <c r="M10" s="9"/>
      <c r="N10" s="118">
        <v>1</v>
      </c>
      <c r="O10" s="118"/>
      <c r="P10" s="118"/>
      <c r="Q10" s="118"/>
      <c r="R10" s="47"/>
    </row>
    <row r="11" spans="1:18" s="2" customFormat="1" ht="15" customHeight="1" thickBot="1" x14ac:dyDescent="0.5">
      <c r="A11" s="44"/>
      <c r="B11" s="44"/>
      <c r="C11" s="44"/>
      <c r="D11" s="44"/>
      <c r="E11" s="44"/>
      <c r="F11" s="44"/>
      <c r="G11" s="44"/>
      <c r="H11" s="44"/>
      <c r="I11" s="44"/>
      <c r="K11" s="4"/>
      <c r="L11" s="58"/>
      <c r="M11" s="58"/>
      <c r="N11" s="48"/>
      <c r="O11" s="49"/>
      <c r="P11" s="49"/>
      <c r="Q11" s="50"/>
      <c r="R11" s="51"/>
    </row>
    <row r="12" spans="1:18" s="2" customFormat="1" ht="7.5" customHeight="1" x14ac:dyDescent="0.45">
      <c r="K12" s="25"/>
      <c r="L12" s="25"/>
      <c r="M12" s="25"/>
      <c r="N12" s="25"/>
      <c r="O12" s="25"/>
      <c r="P12" s="25"/>
      <c r="Q12" s="25"/>
      <c r="R12" s="25"/>
    </row>
    <row r="13" spans="1:18" s="2" customFormat="1" ht="22.5" customHeight="1" x14ac:dyDescent="0.45">
      <c r="A13" s="54"/>
      <c r="B13" s="115" t="s">
        <v>14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N13" s="1"/>
      <c r="O13" s="114" t="s">
        <v>10</v>
      </c>
      <c r="P13" s="114"/>
      <c r="Q13" s="114"/>
      <c r="R13" s="57"/>
    </row>
    <row r="14" spans="1:18" s="2" customFormat="1" ht="15" customHeight="1" x14ac:dyDescent="0.45">
      <c r="A14" s="55"/>
      <c r="B14" s="119"/>
      <c r="C14" s="119"/>
      <c r="D14" s="113" t="s">
        <v>298</v>
      </c>
      <c r="E14" s="113"/>
      <c r="F14" s="113"/>
      <c r="G14" s="113"/>
      <c r="H14" s="113"/>
      <c r="I14" s="113"/>
      <c r="J14" s="113"/>
      <c r="K14" s="113"/>
      <c r="L14" s="113"/>
      <c r="N14" s="17"/>
      <c r="O14" s="27"/>
      <c r="P14" s="22"/>
      <c r="Q14" s="22"/>
      <c r="R14" s="55"/>
    </row>
    <row r="15" spans="1:18" s="2" customFormat="1" ht="15" customHeight="1" x14ac:dyDescent="0.45">
      <c r="A15" s="55"/>
      <c r="B15" s="113"/>
      <c r="C15" s="113"/>
      <c r="D15" s="113" t="s">
        <v>299</v>
      </c>
      <c r="E15" s="113"/>
      <c r="F15" s="113"/>
      <c r="G15" s="113"/>
      <c r="H15" s="113"/>
      <c r="I15" s="113"/>
      <c r="J15" s="113"/>
      <c r="K15" s="113"/>
      <c r="L15" s="113"/>
      <c r="N15" s="3"/>
      <c r="O15" s="27"/>
      <c r="P15" s="52" t="s">
        <v>11</v>
      </c>
      <c r="Q15" s="22"/>
      <c r="R15" s="55"/>
    </row>
    <row r="16" spans="1:18" s="2" customFormat="1" ht="15" customHeight="1" x14ac:dyDescent="0.45">
      <c r="A16" s="55"/>
      <c r="B16" s="113"/>
      <c r="C16" s="113"/>
      <c r="D16" s="113" t="s">
        <v>300</v>
      </c>
      <c r="E16" s="113"/>
      <c r="F16" s="113"/>
      <c r="G16" s="113"/>
      <c r="H16" s="113"/>
      <c r="I16" s="113"/>
      <c r="J16" s="113"/>
      <c r="K16" s="113"/>
      <c r="L16" s="113"/>
      <c r="N16" s="18"/>
      <c r="O16" s="27"/>
      <c r="P16" s="36" t="s">
        <v>12</v>
      </c>
      <c r="Q16" s="22"/>
      <c r="R16" s="55"/>
    </row>
    <row r="17" spans="1:18" s="2" customFormat="1" ht="15" customHeight="1" x14ac:dyDescent="0.45">
      <c r="A17" s="55"/>
      <c r="B17" s="113"/>
      <c r="C17" s="113"/>
      <c r="D17" s="113" t="s">
        <v>301</v>
      </c>
      <c r="E17" s="113"/>
      <c r="F17" s="113"/>
      <c r="G17" s="113"/>
      <c r="H17" s="113"/>
      <c r="I17" s="113"/>
      <c r="J17" s="113"/>
      <c r="K17" s="113"/>
      <c r="L17" s="113"/>
      <c r="N17" s="18"/>
      <c r="O17" s="27"/>
      <c r="P17" t="s">
        <v>13</v>
      </c>
      <c r="Q17" s="22"/>
      <c r="R17" s="55"/>
    </row>
    <row r="18" spans="1:18" s="2" customFormat="1" ht="15" customHeight="1" x14ac:dyDescent="0.45">
      <c r="A18" s="39"/>
      <c r="B18" s="113"/>
      <c r="C18" s="113"/>
      <c r="D18" s="113" t="s">
        <v>159</v>
      </c>
      <c r="E18" s="113"/>
      <c r="F18" s="113"/>
      <c r="G18" s="113"/>
      <c r="H18" s="113"/>
      <c r="I18" s="113"/>
      <c r="J18" s="113"/>
      <c r="K18" s="113"/>
      <c r="L18" s="113"/>
      <c r="N18" s="39"/>
      <c r="O18" s="53"/>
      <c r="P18" s="104" t="s">
        <v>323</v>
      </c>
      <c r="Q18" s="53"/>
      <c r="R18" s="39"/>
    </row>
    <row r="19" spans="1:18" x14ac:dyDescent="0.45">
      <c r="A19" s="39"/>
      <c r="B19" s="113"/>
      <c r="C19" s="113"/>
      <c r="D19" s="113" t="s">
        <v>302</v>
      </c>
      <c r="E19" s="113"/>
      <c r="F19" s="113"/>
      <c r="G19" s="113"/>
      <c r="H19" s="113"/>
      <c r="I19" s="113"/>
      <c r="J19" s="113"/>
      <c r="K19" s="113"/>
      <c r="L19" s="113"/>
      <c r="M19" s="2"/>
      <c r="N19" s="39"/>
      <c r="O19" s="53"/>
      <c r="P19" s="105" t="s">
        <v>324</v>
      </c>
      <c r="Q19" s="53"/>
      <c r="R19" s="39"/>
    </row>
    <row r="20" spans="1:18" ht="14.65" thickBot="1" x14ac:dyDescent="0.5">
      <c r="A20" s="44"/>
      <c r="B20" s="44"/>
      <c r="C20" s="44"/>
      <c r="D20" s="56" t="s">
        <v>57</v>
      </c>
      <c r="E20" s="56"/>
      <c r="F20" s="56"/>
      <c r="G20" s="56"/>
      <c r="H20" s="56"/>
      <c r="I20" s="56"/>
      <c r="J20" s="56"/>
      <c r="K20" s="56"/>
      <c r="L20" s="56"/>
      <c r="N20" s="44"/>
      <c r="O20" s="44"/>
      <c r="P20" s="44"/>
      <c r="Q20" s="44"/>
      <c r="R20" s="44"/>
    </row>
  </sheetData>
  <mergeCells count="22">
    <mergeCell ref="B16:C16"/>
    <mergeCell ref="O13:Q13"/>
    <mergeCell ref="D14:L14"/>
    <mergeCell ref="D15:L15"/>
    <mergeCell ref="B14:C14"/>
    <mergeCell ref="B15:C15"/>
    <mergeCell ref="B17:C17"/>
    <mergeCell ref="L4:P4"/>
    <mergeCell ref="B4:I4"/>
    <mergeCell ref="B13:L13"/>
    <mergeCell ref="B19:C19"/>
    <mergeCell ref="D19:L19"/>
    <mergeCell ref="B18:C18"/>
    <mergeCell ref="D16:L16"/>
    <mergeCell ref="D17:L17"/>
    <mergeCell ref="D18:L18"/>
    <mergeCell ref="N5:Q5"/>
    <mergeCell ref="N6:Q6"/>
    <mergeCell ref="N7:Q7"/>
    <mergeCell ref="N8:Q8"/>
    <mergeCell ref="N9:Q9"/>
    <mergeCell ref="N10:Q10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40"/>
  <sheetViews>
    <sheetView tabSelected="1" zoomScale="130" zoomScaleNormal="130" workbookViewId="0">
      <pane xSplit="4" ySplit="2" topLeftCell="E94" activePane="bottomRight" state="frozen"/>
      <selection pane="topRight" activeCell="E1" sqref="E1"/>
      <selection pane="bottomLeft" activeCell="A3" sqref="A3"/>
      <selection pane="bottomRight" activeCell="E96" sqref="E96"/>
    </sheetView>
  </sheetViews>
  <sheetFormatPr defaultColWidth="13.86328125" defaultRowHeight="15" customHeight="1" x14ac:dyDescent="0.45"/>
  <cols>
    <col min="1" max="1" width="1.53125" style="15" customWidth="1"/>
    <col min="2" max="2" width="22.1328125" style="16" customWidth="1"/>
    <col min="3" max="4" width="10.1328125" customWidth="1"/>
    <col min="5" max="5" width="4.796875" customWidth="1"/>
  </cols>
  <sheetData>
    <row r="1" spans="1:27" s="46" customFormat="1" ht="45" customHeight="1" x14ac:dyDescent="0.85">
      <c r="A1" s="5" t="str">
        <f>Info!A1</f>
        <v>Renewable Energy Modeling</v>
      </c>
      <c r="B1" s="10"/>
      <c r="C1" s="84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35" customFormat="1" ht="30" customHeight="1" x14ac:dyDescent="0.65">
      <c r="A2" s="14" t="str">
        <f ca="1">RIGHT(CELL("filename",A1),LEN(CELL("filename",A1))-SEARCH("]",CELL("filename", A1)))</f>
        <v>Assumptions and Outputs</v>
      </c>
      <c r="B2" s="7"/>
      <c r="C2" s="11" t="s">
        <v>11</v>
      </c>
      <c r="D2" s="11" t="s">
        <v>11</v>
      </c>
      <c r="E2" s="11"/>
      <c r="F2" s="11">
        <f>'Assumptions and Outputs'!D11</f>
        <v>55153</v>
      </c>
      <c r="G2" s="11">
        <f>EDATE(F2,12)</f>
        <v>55518</v>
      </c>
      <c r="H2" s="11">
        <f t="shared" ref="H2:AA2" si="0">EDATE(G2,12)</f>
        <v>55884</v>
      </c>
      <c r="I2" s="11">
        <f t="shared" si="0"/>
        <v>56249</v>
      </c>
      <c r="J2" s="11">
        <f t="shared" si="0"/>
        <v>56614</v>
      </c>
      <c r="K2" s="11">
        <f t="shared" si="0"/>
        <v>56979</v>
      </c>
      <c r="L2" s="11">
        <f t="shared" si="0"/>
        <v>57345</v>
      </c>
      <c r="M2" s="11">
        <f t="shared" si="0"/>
        <v>57710</v>
      </c>
      <c r="N2" s="11">
        <f t="shared" si="0"/>
        <v>58075</v>
      </c>
      <c r="O2" s="11">
        <f t="shared" si="0"/>
        <v>58440</v>
      </c>
      <c r="P2" s="11">
        <f t="shared" si="0"/>
        <v>58806</v>
      </c>
      <c r="Q2" s="11">
        <f t="shared" si="0"/>
        <v>59171</v>
      </c>
      <c r="R2" s="11">
        <f t="shared" si="0"/>
        <v>59536</v>
      </c>
      <c r="S2" s="11">
        <f t="shared" si="0"/>
        <v>59901</v>
      </c>
      <c r="T2" s="11">
        <f t="shared" si="0"/>
        <v>60267</v>
      </c>
      <c r="U2" s="11">
        <f t="shared" si="0"/>
        <v>60632</v>
      </c>
      <c r="V2" s="11">
        <f t="shared" si="0"/>
        <v>60997</v>
      </c>
      <c r="W2" s="11">
        <f t="shared" si="0"/>
        <v>61362</v>
      </c>
      <c r="X2" s="11">
        <f t="shared" si="0"/>
        <v>61728</v>
      </c>
      <c r="Y2" s="11">
        <f t="shared" si="0"/>
        <v>62093</v>
      </c>
      <c r="Z2" s="11">
        <f t="shared" si="0"/>
        <v>62458</v>
      </c>
      <c r="AA2" s="11">
        <f t="shared" si="0"/>
        <v>62823</v>
      </c>
    </row>
    <row r="3" spans="1:27" ht="15" customHeight="1" x14ac:dyDescent="0.45">
      <c r="A3"/>
      <c r="B3" s="77" t="str">
        <f>"all in "&amp;Local_currency&amp;" 000s unless stated"</f>
        <v>all in GBP 000s unless stated</v>
      </c>
      <c r="L3" t="str">
        <f t="shared" ref="L3:L34" ca="1" si="1">IF(ISBLANK(K3),"",_xlfn.FORMULATEXT(K3))</f>
        <v/>
      </c>
    </row>
    <row r="4" spans="1:27" ht="15" customHeight="1" x14ac:dyDescent="0.45">
      <c r="A4"/>
      <c r="B4" s="77"/>
      <c r="L4" t="str">
        <f t="shared" ca="1" si="1"/>
        <v/>
      </c>
    </row>
    <row r="5" spans="1:27" ht="15" customHeight="1" x14ac:dyDescent="0.45">
      <c r="A5" s="15" t="s">
        <v>279</v>
      </c>
      <c r="B5"/>
      <c r="L5" t="str">
        <f t="shared" ca="1" si="1"/>
        <v/>
      </c>
    </row>
    <row r="6" spans="1:27" ht="15" customHeight="1" x14ac:dyDescent="0.45">
      <c r="A6"/>
      <c r="L6" t="str">
        <f t="shared" ca="1" si="1"/>
        <v/>
      </c>
    </row>
    <row r="7" spans="1:27" ht="15" customHeight="1" x14ac:dyDescent="0.45">
      <c r="A7" s="15" t="s">
        <v>18</v>
      </c>
      <c r="L7" t="str">
        <f t="shared" ca="1" si="1"/>
        <v/>
      </c>
    </row>
    <row r="8" spans="1:27" ht="15" customHeight="1" x14ac:dyDescent="0.45">
      <c r="A8" s="59"/>
      <c r="B8" t="s">
        <v>44</v>
      </c>
      <c r="D8" s="60">
        <v>0.04</v>
      </c>
      <c r="L8" t="str">
        <f t="shared" ca="1" si="1"/>
        <v/>
      </c>
    </row>
    <row r="9" spans="1:27" ht="15" customHeight="1" x14ac:dyDescent="0.45">
      <c r="A9" s="59"/>
      <c r="B9"/>
      <c r="L9" t="str">
        <f t="shared" ca="1" si="1"/>
        <v/>
      </c>
    </row>
    <row r="10" spans="1:27" ht="15" customHeight="1" x14ac:dyDescent="0.45">
      <c r="A10" s="15" t="s">
        <v>59</v>
      </c>
      <c r="B10"/>
      <c r="D10" s="62"/>
      <c r="L10" t="str">
        <f t="shared" ca="1" si="1"/>
        <v/>
      </c>
    </row>
    <row r="11" spans="1:27" ht="15" customHeight="1" x14ac:dyDescent="0.45">
      <c r="A11" s="59"/>
      <c r="B11" t="s">
        <v>58</v>
      </c>
      <c r="D11" s="76">
        <v>55153</v>
      </c>
      <c r="L11" t="str">
        <f t="shared" ca="1" si="1"/>
        <v/>
      </c>
    </row>
    <row r="12" spans="1:27" ht="15" customHeight="1" x14ac:dyDescent="0.45">
      <c r="A12" s="59"/>
      <c r="B12" t="s">
        <v>222</v>
      </c>
      <c r="D12" s="76">
        <v>55884</v>
      </c>
      <c r="E12" s="63"/>
      <c r="L12" t="str">
        <f t="shared" ca="1" si="1"/>
        <v/>
      </c>
    </row>
    <row r="13" spans="1:27" ht="15" customHeight="1" x14ac:dyDescent="0.45">
      <c r="A13" s="69"/>
      <c r="B13" t="s">
        <v>252</v>
      </c>
      <c r="D13" s="97">
        <v>56249</v>
      </c>
      <c r="L13" t="str">
        <f t="shared" ca="1" si="1"/>
        <v/>
      </c>
    </row>
    <row r="14" spans="1:27" ht="15" customHeight="1" x14ac:dyDescent="0.45">
      <c r="A14" s="59"/>
      <c r="B14"/>
      <c r="L14" t="str">
        <f t="shared" ca="1" si="1"/>
        <v/>
      </c>
    </row>
    <row r="15" spans="1:27" ht="15" customHeight="1" x14ac:dyDescent="0.45">
      <c r="A15" s="15" t="s">
        <v>22</v>
      </c>
      <c r="B15"/>
      <c r="L15" t="str">
        <f t="shared" ca="1" si="1"/>
        <v/>
      </c>
    </row>
    <row r="16" spans="1:27" ht="15" customHeight="1" x14ac:dyDescent="0.45">
      <c r="A16" s="59"/>
      <c r="B16" t="s">
        <v>223</v>
      </c>
      <c r="C16" t="s">
        <v>23</v>
      </c>
      <c r="D16" s="64">
        <v>200</v>
      </c>
      <c r="L16" t="str">
        <f t="shared" ca="1" si="1"/>
        <v/>
      </c>
    </row>
    <row r="17" spans="1:12" ht="15" customHeight="1" x14ac:dyDescent="0.45">
      <c r="A17" s="59"/>
      <c r="B17" t="s">
        <v>20</v>
      </c>
      <c r="D17" s="60">
        <v>0.8</v>
      </c>
      <c r="L17" t="str">
        <f t="shared" ca="1" si="1"/>
        <v/>
      </c>
    </row>
    <row r="18" spans="1:12" ht="15" customHeight="1" x14ac:dyDescent="0.45">
      <c r="A18" s="59"/>
      <c r="B18" t="s">
        <v>24</v>
      </c>
      <c r="C18" t="s">
        <v>308</v>
      </c>
      <c r="D18" s="60">
        <v>0.4</v>
      </c>
      <c r="L18" t="str">
        <f t="shared" ca="1" si="1"/>
        <v/>
      </c>
    </row>
    <row r="19" spans="1:12" ht="15" customHeight="1" x14ac:dyDescent="0.45">
      <c r="A19" s="59"/>
      <c r="B19" t="s">
        <v>74</v>
      </c>
      <c r="C19" t="s">
        <v>75</v>
      </c>
      <c r="D19" s="64">
        <v>24</v>
      </c>
      <c r="L19" t="str">
        <f t="shared" ca="1" si="1"/>
        <v/>
      </c>
    </row>
    <row r="20" spans="1:12" ht="15" customHeight="1" x14ac:dyDescent="0.45">
      <c r="A20" s="59"/>
      <c r="B20" t="s">
        <v>73</v>
      </c>
      <c r="C20" t="s">
        <v>25</v>
      </c>
      <c r="D20" s="64">
        <v>365</v>
      </c>
      <c r="L20" t="str">
        <f t="shared" ca="1" si="1"/>
        <v/>
      </c>
    </row>
    <row r="21" spans="1:12" ht="15" customHeight="1" x14ac:dyDescent="0.45">
      <c r="A21" s="59"/>
      <c r="B21" t="s">
        <v>72</v>
      </c>
      <c r="C21" t="s">
        <v>76</v>
      </c>
      <c r="D21" s="64">
        <v>240</v>
      </c>
      <c r="L21" t="str">
        <f t="shared" ca="1" si="1"/>
        <v/>
      </c>
    </row>
    <row r="22" spans="1:12" ht="15" customHeight="1" x14ac:dyDescent="0.45">
      <c r="A22" s="59"/>
      <c r="B22" t="s">
        <v>71</v>
      </c>
      <c r="C22" t="s">
        <v>76</v>
      </c>
      <c r="D22" s="64">
        <v>380</v>
      </c>
      <c r="L22" t="str">
        <f t="shared" ca="1" si="1"/>
        <v/>
      </c>
    </row>
    <row r="23" spans="1:12" ht="15" customHeight="1" x14ac:dyDescent="0.45">
      <c r="A23" s="59"/>
      <c r="B23"/>
      <c r="L23" t="str">
        <f t="shared" ca="1" si="1"/>
        <v/>
      </c>
    </row>
    <row r="24" spans="1:12" ht="15" customHeight="1" x14ac:dyDescent="0.45">
      <c r="A24" s="59" t="s">
        <v>51</v>
      </c>
      <c r="B24"/>
      <c r="L24" t="str">
        <f t="shared" ca="1" si="1"/>
        <v/>
      </c>
    </row>
    <row r="25" spans="1:12" ht="15" customHeight="1" x14ac:dyDescent="0.45">
      <c r="A25" s="59"/>
      <c r="B25" t="s">
        <v>45</v>
      </c>
      <c r="D25" s="64" t="s">
        <v>47</v>
      </c>
      <c r="L25" t="str">
        <f t="shared" ca="1" si="1"/>
        <v/>
      </c>
    </row>
    <row r="26" spans="1:12" ht="15" customHeight="1" x14ac:dyDescent="0.45">
      <c r="A26" s="59"/>
      <c r="B26" t="s">
        <v>46</v>
      </c>
      <c r="D26" s="64" t="s">
        <v>48</v>
      </c>
      <c r="L26" t="str">
        <f t="shared" ca="1" si="1"/>
        <v/>
      </c>
    </row>
    <row r="27" spans="1:12" ht="15" customHeight="1" x14ac:dyDescent="0.45">
      <c r="A27" s="59"/>
      <c r="B27" t="str">
        <f>"Electricity sales - "&amp;D25</f>
        <v>Electricity sales - Government</v>
      </c>
      <c r="C27" t="s">
        <v>304</v>
      </c>
      <c r="D27" s="60">
        <v>0.55000000000000004</v>
      </c>
      <c r="L27" t="str">
        <f t="shared" ca="1" si="1"/>
        <v/>
      </c>
    </row>
    <row r="28" spans="1:12" ht="15" customHeight="1" x14ac:dyDescent="0.45">
      <c r="A28" s="59"/>
      <c r="B28" t="str">
        <f>"Electricity sales - "&amp;D26</f>
        <v>Electricity sales - HEC energy</v>
      </c>
      <c r="C28" t="s">
        <v>304</v>
      </c>
      <c r="D28" s="60">
        <v>0.25</v>
      </c>
      <c r="L28" t="str">
        <f t="shared" ca="1" si="1"/>
        <v/>
      </c>
    </row>
    <row r="29" spans="1:12" ht="15" customHeight="1" x14ac:dyDescent="0.45">
      <c r="A29" s="59"/>
      <c r="B29" t="s">
        <v>82</v>
      </c>
      <c r="C29" t="s">
        <v>304</v>
      </c>
      <c r="D29" s="65">
        <f>1-SUM(D27:D28)</f>
        <v>0.19999999999999996</v>
      </c>
      <c r="L29" t="str">
        <f t="shared" ca="1" si="1"/>
        <v/>
      </c>
    </row>
    <row r="30" spans="1:12" ht="15" customHeight="1" x14ac:dyDescent="0.45">
      <c r="A30" s="59"/>
      <c r="B30"/>
      <c r="D30" s="65"/>
      <c r="L30" t="str">
        <f t="shared" ca="1" si="1"/>
        <v/>
      </c>
    </row>
    <row r="31" spans="1:12" ht="15" customHeight="1" x14ac:dyDescent="0.45">
      <c r="A31" s="59"/>
      <c r="B31" t="s">
        <v>97</v>
      </c>
      <c r="D31" s="60">
        <v>1</v>
      </c>
      <c r="L31" t="str">
        <f t="shared" ca="1" si="1"/>
        <v/>
      </c>
    </row>
    <row r="32" spans="1:12" ht="15" customHeight="1" x14ac:dyDescent="0.45">
      <c r="A32" s="59"/>
      <c r="B32" t="s">
        <v>98</v>
      </c>
      <c r="D32" s="60">
        <v>0.6</v>
      </c>
      <c r="L32" t="str">
        <f t="shared" ca="1" si="1"/>
        <v/>
      </c>
    </row>
    <row r="33" spans="1:12" ht="15" customHeight="1" x14ac:dyDescent="0.45">
      <c r="A33" s="59"/>
      <c r="B33"/>
      <c r="L33" t="str">
        <f t="shared" ca="1" si="1"/>
        <v/>
      </c>
    </row>
    <row r="34" spans="1:12" ht="15" customHeight="1" x14ac:dyDescent="0.45">
      <c r="A34" s="15" t="s">
        <v>49</v>
      </c>
      <c r="B34"/>
      <c r="L34" t="str">
        <f t="shared" ca="1" si="1"/>
        <v/>
      </c>
    </row>
    <row r="35" spans="1:12" ht="15" customHeight="1" x14ac:dyDescent="0.45">
      <c r="A35" s="59"/>
      <c r="B35" t="str">
        <f>D25&amp;" price in real terms per MWh"</f>
        <v>Government price in real terms per MWh</v>
      </c>
      <c r="C35" t="s">
        <v>52</v>
      </c>
      <c r="D35" s="61">
        <v>40</v>
      </c>
      <c r="L35" t="str">
        <f t="shared" ref="L35:L66" ca="1" si="2">IF(ISBLANK(K35),"",_xlfn.FORMULATEXT(K35))</f>
        <v/>
      </c>
    </row>
    <row r="36" spans="1:12" ht="15" customHeight="1" x14ac:dyDescent="0.45">
      <c r="A36" s="59"/>
      <c r="B36" t="str">
        <f>D26&amp;" price in real terms per MWh"</f>
        <v>HEC energy price in real terms per MWh</v>
      </c>
      <c r="C36" t="s">
        <v>52</v>
      </c>
      <c r="D36" s="61">
        <v>30</v>
      </c>
      <c r="L36" t="str">
        <f t="shared" ca="1" si="2"/>
        <v/>
      </c>
    </row>
    <row r="37" spans="1:12" ht="15" customHeight="1" x14ac:dyDescent="0.45">
      <c r="A37" s="59"/>
      <c r="B37" t="s">
        <v>53</v>
      </c>
      <c r="C37" t="s">
        <v>52</v>
      </c>
      <c r="D37" s="61">
        <v>50</v>
      </c>
      <c r="L37" t="str">
        <f t="shared" ca="1" si="2"/>
        <v/>
      </c>
    </row>
    <row r="38" spans="1:12" ht="15" customHeight="1" x14ac:dyDescent="0.45">
      <c r="A38" s="59"/>
      <c r="B38"/>
      <c r="D38" s="67"/>
      <c r="L38" t="str">
        <f t="shared" ca="1" si="2"/>
        <v/>
      </c>
    </row>
    <row r="39" spans="1:12" ht="15" customHeight="1" x14ac:dyDescent="0.45">
      <c r="A39" s="15" t="s">
        <v>19</v>
      </c>
      <c r="B39"/>
      <c r="L39" t="str">
        <f t="shared" ca="1" si="2"/>
        <v/>
      </c>
    </row>
    <row r="40" spans="1:12" ht="15" customHeight="1" x14ac:dyDescent="0.45">
      <c r="A40" s="59"/>
      <c r="B40" t="s">
        <v>95</v>
      </c>
      <c r="D40" s="60">
        <v>0.15</v>
      </c>
      <c r="L40" t="str">
        <f t="shared" ca="1" si="2"/>
        <v/>
      </c>
    </row>
    <row r="41" spans="1:12" ht="15" customHeight="1" x14ac:dyDescent="0.45">
      <c r="A41" s="59"/>
      <c r="B41" t="s">
        <v>294</v>
      </c>
      <c r="D41" s="61">
        <v>20000</v>
      </c>
      <c r="L41" t="str">
        <f t="shared" ca="1" si="2"/>
        <v/>
      </c>
    </row>
    <row r="42" spans="1:12" ht="15" customHeight="1" x14ac:dyDescent="0.45">
      <c r="A42" s="59"/>
      <c r="B42"/>
      <c r="D42" s="67"/>
      <c r="L42" t="str">
        <f t="shared" ca="1" si="2"/>
        <v/>
      </c>
    </row>
    <row r="43" spans="1:12" ht="15" customHeight="1" x14ac:dyDescent="0.45">
      <c r="A43" s="15" t="s">
        <v>153</v>
      </c>
      <c r="B43"/>
      <c r="L43" t="str">
        <f t="shared" ca="1" si="2"/>
        <v/>
      </c>
    </row>
    <row r="44" spans="1:12" ht="15" customHeight="1" x14ac:dyDescent="0.45">
      <c r="A44" s="59"/>
      <c r="B44" t="s">
        <v>114</v>
      </c>
      <c r="C44" s="101">
        <v>1</v>
      </c>
      <c r="D44" s="60">
        <v>0.2</v>
      </c>
      <c r="L44" t="str">
        <f t="shared" ca="1" si="2"/>
        <v/>
      </c>
    </row>
    <row r="45" spans="1:12" ht="15" customHeight="1" x14ac:dyDescent="0.45">
      <c r="A45" s="59"/>
      <c r="B45" t="s">
        <v>115</v>
      </c>
      <c r="C45" s="101">
        <v>2</v>
      </c>
      <c r="D45" s="65">
        <f>1-D44</f>
        <v>0.8</v>
      </c>
      <c r="L45" t="str">
        <f t="shared" ca="1" si="2"/>
        <v/>
      </c>
    </row>
    <row r="46" spans="1:12" ht="15" customHeight="1" x14ac:dyDescent="0.45">
      <c r="A46" s="59"/>
      <c r="B46"/>
      <c r="D46" s="65"/>
      <c r="L46" t="str">
        <f t="shared" ca="1" si="2"/>
        <v/>
      </c>
    </row>
    <row r="47" spans="1:12" ht="15" customHeight="1" x14ac:dyDescent="0.45">
      <c r="B47" t="s">
        <v>54</v>
      </c>
      <c r="D47" s="78" t="s">
        <v>55</v>
      </c>
      <c r="L47" t="str">
        <f t="shared" ca="1" si="2"/>
        <v/>
      </c>
    </row>
    <row r="48" spans="1:12" ht="15" customHeight="1" x14ac:dyDescent="0.45">
      <c r="A48" s="59"/>
      <c r="B48" t="s">
        <v>318</v>
      </c>
      <c r="C48" t="str">
        <f>D47&amp;" 000s"</f>
        <v>USD 000s</v>
      </c>
      <c r="D48" s="64">
        <v>1300</v>
      </c>
      <c r="L48" t="str">
        <f t="shared" ca="1" si="2"/>
        <v/>
      </c>
    </row>
    <row r="49" spans="1:12" ht="15" customHeight="1" x14ac:dyDescent="0.45">
      <c r="A49" s="59"/>
      <c r="B49" t="s">
        <v>117</v>
      </c>
      <c r="C49" t="s">
        <v>316</v>
      </c>
      <c r="D49" s="60">
        <v>0</v>
      </c>
      <c r="L49" t="str">
        <f t="shared" ca="1" si="2"/>
        <v/>
      </c>
    </row>
    <row r="50" spans="1:12" ht="15" customHeight="1" x14ac:dyDescent="0.45">
      <c r="A50" s="59"/>
      <c r="B50" t="s">
        <v>26</v>
      </c>
      <c r="C50" t="str">
        <f>Local_currency&amp;"/ 1"&amp;D47</f>
        <v>GBP/ 1USD</v>
      </c>
      <c r="D50" s="66">
        <f>1/1.25</f>
        <v>0.8</v>
      </c>
      <c r="L50" t="str">
        <f t="shared" ca="1" si="2"/>
        <v/>
      </c>
    </row>
    <row r="51" spans="1:12" ht="15" customHeight="1" x14ac:dyDescent="0.45">
      <c r="A51" s="59"/>
      <c r="B51" t="str">
        <f>"Local currency devaluation vs "&amp;D47</f>
        <v>Local currency devaluation vs USD</v>
      </c>
      <c r="C51" t="s">
        <v>27</v>
      </c>
      <c r="D51" s="60">
        <v>0.03</v>
      </c>
      <c r="L51" t="str">
        <f t="shared" ca="1" si="2"/>
        <v/>
      </c>
    </row>
    <row r="52" spans="1:12" ht="15" customHeight="1" x14ac:dyDescent="0.45">
      <c r="A52" s="59"/>
      <c r="B52"/>
      <c r="L52" t="str">
        <f t="shared" ca="1" si="2"/>
        <v/>
      </c>
    </row>
    <row r="53" spans="1:12" ht="15" customHeight="1" x14ac:dyDescent="0.45">
      <c r="A53" s="59"/>
      <c r="B53" t="s">
        <v>28</v>
      </c>
      <c r="C53" t="s">
        <v>307</v>
      </c>
      <c r="D53" s="60">
        <v>0.05</v>
      </c>
      <c r="L53" t="str">
        <f t="shared" ca="1" si="2"/>
        <v/>
      </c>
    </row>
    <row r="54" spans="1:12" ht="15" customHeight="1" x14ac:dyDescent="0.45">
      <c r="A54" s="59"/>
      <c r="B54"/>
      <c r="L54" t="str">
        <f t="shared" ca="1" si="2"/>
        <v/>
      </c>
    </row>
    <row r="55" spans="1:12" ht="15" customHeight="1" x14ac:dyDescent="0.45">
      <c r="A55" s="68" t="s">
        <v>40</v>
      </c>
      <c r="B55"/>
      <c r="L55" t="str">
        <f t="shared" ca="1" si="2"/>
        <v/>
      </c>
    </row>
    <row r="56" spans="1:12" ht="15" customHeight="1" x14ac:dyDescent="0.45">
      <c r="A56" s="69"/>
      <c r="B56" t="s">
        <v>41</v>
      </c>
      <c r="D56" s="60">
        <v>0.25</v>
      </c>
      <c r="L56" t="str">
        <f t="shared" ca="1" si="2"/>
        <v/>
      </c>
    </row>
    <row r="57" spans="1:12" ht="15" customHeight="1" x14ac:dyDescent="0.45">
      <c r="A57" s="69"/>
      <c r="B57" t="s">
        <v>63</v>
      </c>
      <c r="C57" t="s">
        <v>42</v>
      </c>
      <c r="D57" s="60">
        <v>0.3</v>
      </c>
      <c r="L57" t="str">
        <f t="shared" ca="1" si="2"/>
        <v/>
      </c>
    </row>
    <row r="58" spans="1:12" ht="15" customHeight="1" x14ac:dyDescent="0.45">
      <c r="A58" s="69"/>
      <c r="B58" t="s">
        <v>295</v>
      </c>
      <c r="C58" t="s">
        <v>21</v>
      </c>
      <c r="D58" s="60">
        <v>0.5</v>
      </c>
      <c r="E58" s="81"/>
      <c r="L58" t="str">
        <f t="shared" ca="1" si="2"/>
        <v/>
      </c>
    </row>
    <row r="59" spans="1:12" ht="15" customHeight="1" x14ac:dyDescent="0.45">
      <c r="A59" s="69"/>
      <c r="B59" t="s">
        <v>296</v>
      </c>
      <c r="C59" t="s">
        <v>21</v>
      </c>
      <c r="D59" s="65">
        <f>1-D58</f>
        <v>0.5</v>
      </c>
      <c r="L59" t="str">
        <f t="shared" ca="1" si="2"/>
        <v/>
      </c>
    </row>
    <row r="60" spans="1:12" ht="15" customHeight="1" x14ac:dyDescent="0.45">
      <c r="A60" s="59"/>
      <c r="B60"/>
      <c r="L60" t="str">
        <f t="shared" ca="1" si="2"/>
        <v/>
      </c>
    </row>
    <row r="61" spans="1:12" ht="15" customHeight="1" x14ac:dyDescent="0.45">
      <c r="A61" s="69" t="s">
        <v>50</v>
      </c>
      <c r="B61"/>
      <c r="D61" s="67"/>
      <c r="L61" t="str">
        <f t="shared" ca="1" si="2"/>
        <v/>
      </c>
    </row>
    <row r="62" spans="1:12" ht="15" customHeight="1" x14ac:dyDescent="0.45">
      <c r="A62" s="59"/>
      <c r="B62" t="s">
        <v>143</v>
      </c>
      <c r="C62" t="s">
        <v>25</v>
      </c>
      <c r="D62" s="64">
        <v>30</v>
      </c>
      <c r="L62" t="str">
        <f t="shared" ca="1" si="2"/>
        <v/>
      </c>
    </row>
    <row r="63" spans="1:12" ht="15" customHeight="1" x14ac:dyDescent="0.45">
      <c r="A63" s="59"/>
      <c r="B63" t="s">
        <v>297</v>
      </c>
      <c r="C63" t="s">
        <v>25</v>
      </c>
      <c r="D63" s="64">
        <v>60</v>
      </c>
      <c r="L63" t="str">
        <f t="shared" ca="1" si="2"/>
        <v/>
      </c>
    </row>
    <row r="64" spans="1:12" ht="15" customHeight="1" x14ac:dyDescent="0.45">
      <c r="A64" s="59"/>
      <c r="B64"/>
      <c r="L64" t="str">
        <f t="shared" ca="1" si="2"/>
        <v/>
      </c>
    </row>
    <row r="65" spans="1:12" ht="15" customHeight="1" x14ac:dyDescent="0.45">
      <c r="A65" s="68" t="s">
        <v>57</v>
      </c>
      <c r="B65"/>
      <c r="L65" t="str">
        <f t="shared" ca="1" si="2"/>
        <v/>
      </c>
    </row>
    <row r="66" spans="1:12" ht="15" customHeight="1" x14ac:dyDescent="0.45">
      <c r="A66" s="69"/>
      <c r="B66" t="s">
        <v>29</v>
      </c>
      <c r="D66" s="60">
        <v>0.5</v>
      </c>
      <c r="E66" s="81"/>
      <c r="L66" t="str">
        <f t="shared" ca="1" si="2"/>
        <v/>
      </c>
    </row>
    <row r="67" spans="1:12" ht="15" customHeight="1" x14ac:dyDescent="0.45">
      <c r="A67" s="69"/>
      <c r="B67" t="s">
        <v>30</v>
      </c>
      <c r="C67" t="s">
        <v>274</v>
      </c>
      <c r="D67" s="60">
        <v>0.7</v>
      </c>
      <c r="L67" t="str">
        <f t="shared" ref="L67:L96" ca="1" si="3">IF(ISBLANK(K67),"",_xlfn.FORMULATEXT(K67))</f>
        <v/>
      </c>
    </row>
    <row r="68" spans="1:12" ht="15" customHeight="1" x14ac:dyDescent="0.45">
      <c r="A68" s="69"/>
      <c r="B68" t="s">
        <v>31</v>
      </c>
      <c r="C68" t="s">
        <v>274</v>
      </c>
      <c r="D68" s="65">
        <f>1-D67</f>
        <v>0.30000000000000004</v>
      </c>
      <c r="L68" t="str">
        <f t="shared" ca="1" si="3"/>
        <v/>
      </c>
    </row>
    <row r="69" spans="1:12" ht="15" customHeight="1" x14ac:dyDescent="0.45">
      <c r="A69" s="69"/>
      <c r="B69" t="s">
        <v>60</v>
      </c>
      <c r="C69" t="s">
        <v>309</v>
      </c>
      <c r="D69" s="64">
        <v>15</v>
      </c>
      <c r="E69" s="81"/>
      <c r="L69" t="str">
        <f t="shared" ca="1" si="3"/>
        <v/>
      </c>
    </row>
    <row r="70" spans="1:12" ht="15" customHeight="1" x14ac:dyDescent="0.45">
      <c r="A70" s="69"/>
      <c r="B70" t="s">
        <v>61</v>
      </c>
      <c r="C70" t="s">
        <v>309</v>
      </c>
      <c r="D70" s="64">
        <v>18</v>
      </c>
      <c r="L70" t="str">
        <f t="shared" ca="1" si="3"/>
        <v/>
      </c>
    </row>
    <row r="71" spans="1:12" ht="15" customHeight="1" x14ac:dyDescent="0.45">
      <c r="A71" s="69"/>
      <c r="B71" t="s">
        <v>62</v>
      </c>
      <c r="D71" s="70">
        <v>0.03</v>
      </c>
      <c r="L71" t="str">
        <f t="shared" ca="1" si="3"/>
        <v/>
      </c>
    </row>
    <row r="72" spans="1:12" ht="15" customHeight="1" x14ac:dyDescent="0.45">
      <c r="A72" s="69"/>
      <c r="B72" t="s">
        <v>32</v>
      </c>
      <c r="D72" s="70">
        <v>8.0000000000000002E-3</v>
      </c>
      <c r="L72" t="str">
        <f t="shared" ca="1" si="3"/>
        <v/>
      </c>
    </row>
    <row r="73" spans="1:12" ht="15" customHeight="1" x14ac:dyDescent="0.45">
      <c r="A73" s="69"/>
      <c r="B73" t="s">
        <v>33</v>
      </c>
      <c r="D73" s="67">
        <f>SUM(D71:D72)</f>
        <v>3.7999999999999999E-2</v>
      </c>
      <c r="L73" t="str">
        <f t="shared" ca="1" si="3"/>
        <v/>
      </c>
    </row>
    <row r="74" spans="1:12" ht="15" customHeight="1" x14ac:dyDescent="0.45">
      <c r="A74" s="69"/>
      <c r="B74" t="s">
        <v>34</v>
      </c>
      <c r="D74" s="70">
        <v>3.7999999999999999E-2</v>
      </c>
      <c r="L74" t="str">
        <f t="shared" ca="1" si="3"/>
        <v/>
      </c>
    </row>
    <row r="75" spans="1:12" ht="15" customHeight="1" x14ac:dyDescent="0.45">
      <c r="A75" s="69"/>
      <c r="B75" t="s">
        <v>35</v>
      </c>
      <c r="D75" s="67">
        <f>+D71+D74</f>
        <v>6.8000000000000005E-2</v>
      </c>
      <c r="L75" t="str">
        <f t="shared" ca="1" si="3"/>
        <v/>
      </c>
    </row>
    <row r="76" spans="1:12" ht="15" customHeight="1" x14ac:dyDescent="0.45">
      <c r="A76" s="69"/>
      <c r="B76"/>
      <c r="D76" s="71"/>
      <c r="L76" t="str">
        <f t="shared" ca="1" si="3"/>
        <v/>
      </c>
    </row>
    <row r="77" spans="1:12" ht="15" customHeight="1" x14ac:dyDescent="0.45">
      <c r="A77" s="69"/>
      <c r="B77" t="s">
        <v>36</v>
      </c>
      <c r="D77" s="65">
        <f>D73*D67+D75*D68</f>
        <v>4.7E-2</v>
      </c>
      <c r="L77" t="str">
        <f t="shared" ca="1" si="3"/>
        <v/>
      </c>
    </row>
    <row r="78" spans="1:12" ht="15" customHeight="1" x14ac:dyDescent="0.45">
      <c r="A78" s="69"/>
      <c r="B78"/>
      <c r="D78" s="71"/>
      <c r="L78" t="str">
        <f t="shared" ca="1" si="3"/>
        <v/>
      </c>
    </row>
    <row r="79" spans="1:12" ht="15" customHeight="1" x14ac:dyDescent="0.45">
      <c r="A79" s="69"/>
      <c r="B79" t="s">
        <v>37</v>
      </c>
      <c r="C79" t="s">
        <v>310</v>
      </c>
      <c r="D79" s="60">
        <v>0.01</v>
      </c>
      <c r="L79" t="str">
        <f t="shared" ca="1" si="3"/>
        <v/>
      </c>
    </row>
    <row r="80" spans="1:12" ht="15" customHeight="1" x14ac:dyDescent="0.45">
      <c r="A80"/>
      <c r="B80"/>
      <c r="L80" t="str">
        <f t="shared" ca="1" si="3"/>
        <v/>
      </c>
    </row>
    <row r="81" spans="1:12" ht="15" customHeight="1" x14ac:dyDescent="0.45">
      <c r="A81" s="69"/>
      <c r="B81" t="s">
        <v>260</v>
      </c>
      <c r="D81" s="72">
        <v>1.25</v>
      </c>
      <c r="L81" t="str">
        <f t="shared" ca="1" si="3"/>
        <v/>
      </c>
    </row>
    <row r="82" spans="1:12" ht="15" customHeight="1" x14ac:dyDescent="0.45">
      <c r="A82" s="69"/>
      <c r="B82" t="s">
        <v>261</v>
      </c>
      <c r="D82" s="72">
        <v>1.5</v>
      </c>
      <c r="L82" t="str">
        <f t="shared" ca="1" si="3"/>
        <v/>
      </c>
    </row>
    <row r="83" spans="1:12" ht="15" customHeight="1" x14ac:dyDescent="0.45">
      <c r="A83" s="69"/>
      <c r="B83" t="s">
        <v>262</v>
      </c>
      <c r="D83" s="72">
        <v>2</v>
      </c>
      <c r="L83" t="str">
        <f t="shared" ca="1" si="3"/>
        <v/>
      </c>
    </row>
    <row r="84" spans="1:12" ht="15" customHeight="1" x14ac:dyDescent="0.45">
      <c r="A84"/>
      <c r="B84" t="s">
        <v>38</v>
      </c>
      <c r="D84" s="73">
        <v>1.5</v>
      </c>
      <c r="L84" t="str">
        <f t="shared" ca="1" si="3"/>
        <v/>
      </c>
    </row>
    <row r="85" spans="1:12" ht="15" customHeight="1" x14ac:dyDescent="0.45">
      <c r="A85" s="69"/>
      <c r="B85" t="s">
        <v>39</v>
      </c>
      <c r="D85" s="73">
        <v>1.5</v>
      </c>
      <c r="L85" t="str">
        <f t="shared" ca="1" si="3"/>
        <v/>
      </c>
    </row>
    <row r="86" spans="1:12" ht="15" customHeight="1" x14ac:dyDescent="0.45">
      <c r="A86" s="69"/>
      <c r="B86"/>
      <c r="L86" t="str">
        <f t="shared" ca="1" si="3"/>
        <v/>
      </c>
    </row>
    <row r="87" spans="1:12" ht="15" customHeight="1" x14ac:dyDescent="0.45">
      <c r="A87" s="68" t="s">
        <v>164</v>
      </c>
      <c r="B87"/>
      <c r="L87" t="str">
        <f t="shared" ca="1" si="3"/>
        <v/>
      </c>
    </row>
    <row r="88" spans="1:12" ht="15" customHeight="1" x14ac:dyDescent="0.45">
      <c r="A88" s="59"/>
      <c r="B88" t="s">
        <v>281</v>
      </c>
      <c r="D88" s="60">
        <v>1</v>
      </c>
      <c r="L88" t="str">
        <f t="shared" ca="1" si="3"/>
        <v/>
      </c>
    </row>
    <row r="89" spans="1:12" ht="15" customHeight="1" x14ac:dyDescent="0.45">
      <c r="A89" s="69"/>
      <c r="B89" t="s">
        <v>64</v>
      </c>
      <c r="D89" s="74">
        <v>2</v>
      </c>
      <c r="L89" t="str">
        <f t="shared" ca="1" si="3"/>
        <v/>
      </c>
    </row>
    <row r="90" spans="1:12" ht="15" customHeight="1" x14ac:dyDescent="0.45">
      <c r="A90" s="59"/>
      <c r="B90" t="s">
        <v>278</v>
      </c>
      <c r="C90" s="65"/>
      <c r="D90" s="80">
        <v>0.12</v>
      </c>
      <c r="L90" t="str">
        <f t="shared" ca="1" si="3"/>
        <v/>
      </c>
    </row>
    <row r="91" spans="1:12" ht="15" customHeight="1" x14ac:dyDescent="0.45">
      <c r="A91" s="69"/>
      <c r="L91" t="str">
        <f t="shared" ca="1" si="3"/>
        <v/>
      </c>
    </row>
    <row r="92" spans="1:12" ht="15" customHeight="1" x14ac:dyDescent="0.45">
      <c r="A92" s="82" t="s">
        <v>280</v>
      </c>
      <c r="C92" s="75"/>
      <c r="D92" s="75"/>
      <c r="L92" t="str">
        <f t="shared" ca="1" si="3"/>
        <v/>
      </c>
    </row>
    <row r="93" spans="1:12" ht="15" customHeight="1" x14ac:dyDescent="0.45">
      <c r="A93" s="99"/>
      <c r="C93" s="75"/>
      <c r="D93" s="75"/>
      <c r="L93" t="str">
        <f t="shared" ca="1" si="3"/>
        <v/>
      </c>
    </row>
    <row r="94" spans="1:12" ht="15" customHeight="1" x14ac:dyDescent="0.45">
      <c r="A94" s="82" t="s">
        <v>272</v>
      </c>
      <c r="B94" s="77"/>
      <c r="D94">
        <f ca="1">Debt!D89</f>
        <v>0</v>
      </c>
      <c r="L94" t="str">
        <f t="shared" ca="1" si="3"/>
        <v/>
      </c>
    </row>
    <row r="95" spans="1:12" ht="15" customHeight="1" x14ac:dyDescent="0.45">
      <c r="A95" s="82"/>
      <c r="B95" s="77"/>
      <c r="L95" t="str">
        <f t="shared" ca="1" si="3"/>
        <v/>
      </c>
    </row>
    <row r="96" spans="1:12" ht="15" customHeight="1" x14ac:dyDescent="0.45">
      <c r="A96" s="82" t="s">
        <v>273</v>
      </c>
      <c r="B96"/>
      <c r="L96" t="str">
        <f t="shared" ca="1" si="3"/>
        <v/>
      </c>
    </row>
    <row r="97" spans="1:28" ht="15" customHeight="1" x14ac:dyDescent="0.45">
      <c r="A97" s="82"/>
      <c r="B97" t="s">
        <v>193</v>
      </c>
      <c r="F97">
        <f ca="1">'Sources and Uses'!F60*-1</f>
        <v>-44561.919999999998</v>
      </c>
      <c r="G97">
        <f ca="1">'Sources and Uses'!G60*-1</f>
        <v>-77490.857826379899</v>
      </c>
      <c r="H97">
        <f ca="1">'Sources and Uses'!H60*-1</f>
        <v>0</v>
      </c>
      <c r="I97">
        <f ca="1">'Sources and Uses'!I60*-1</f>
        <v>0</v>
      </c>
      <c r="J97">
        <f ca="1">'Sources and Uses'!J60*-1</f>
        <v>0</v>
      </c>
      <c r="K97">
        <f ca="1">'Sources and Uses'!K60*-1</f>
        <v>0</v>
      </c>
      <c r="L97">
        <f ca="1">'Sources and Uses'!L60*-1</f>
        <v>0</v>
      </c>
      <c r="M97">
        <f ca="1">'Sources and Uses'!M60*-1</f>
        <v>0</v>
      </c>
      <c r="N97">
        <f ca="1">'Sources and Uses'!N60*-1</f>
        <v>0</v>
      </c>
      <c r="O97">
        <f ca="1">'Sources and Uses'!O60*-1</f>
        <v>0</v>
      </c>
      <c r="P97">
        <f ca="1">'Sources and Uses'!P60*-1</f>
        <v>0</v>
      </c>
      <c r="Q97">
        <f ca="1">'Sources and Uses'!Q60*-1</f>
        <v>0</v>
      </c>
      <c r="R97">
        <f ca="1">'Sources and Uses'!R60*-1</f>
        <v>0</v>
      </c>
      <c r="S97">
        <f ca="1">'Sources and Uses'!S60*-1</f>
        <v>0</v>
      </c>
      <c r="T97">
        <f ca="1">'Sources and Uses'!T60*-1</f>
        <v>0</v>
      </c>
      <c r="U97">
        <f ca="1">'Sources and Uses'!U60*-1</f>
        <v>0</v>
      </c>
      <c r="V97">
        <f ca="1">'Sources and Uses'!V60*-1</f>
        <v>0</v>
      </c>
      <c r="W97">
        <f ca="1">'Sources and Uses'!W60*-1</f>
        <v>0</v>
      </c>
      <c r="X97">
        <f ca="1">'Sources and Uses'!X60*-1</f>
        <v>0</v>
      </c>
      <c r="Y97">
        <f ca="1">'Sources and Uses'!Y60*-1</f>
        <v>0</v>
      </c>
      <c r="Z97">
        <f ca="1">'Sources and Uses'!Z60*-1</f>
        <v>0</v>
      </c>
      <c r="AA97">
        <f ca="1">'Sources and Uses'!AA60*-1</f>
        <v>0</v>
      </c>
      <c r="AB97" t="str">
        <f t="shared" ref="AB97:AB99" ca="1" si="4">IF(ISBLANK(AA97),"",_xlfn.FORMULATEXT(AA97))</f>
        <v>='Sources and Uses'!AA60*-1</v>
      </c>
    </row>
    <row r="98" spans="1:28" ht="15" customHeight="1" x14ac:dyDescent="0.45">
      <c r="A98" s="82"/>
      <c r="B98" t="s">
        <v>164</v>
      </c>
      <c r="F98">
        <f ca="1">Debt!F47*-1</f>
        <v>0</v>
      </c>
      <c r="G98">
        <f ca="1">Debt!G47*-1</f>
        <v>0</v>
      </c>
      <c r="H98">
        <f ca="1">Debt!H47*-1</f>
        <v>11483.31411642937</v>
      </c>
      <c r="I98">
        <f ca="1">Debt!I47*-1</f>
        <v>8026.3463960804838</v>
      </c>
      <c r="J98">
        <f ca="1">Debt!J47*-1</f>
        <v>14732.635213680664</v>
      </c>
      <c r="K98">
        <f ca="1">Debt!K47*-1</f>
        <v>14810.958719864571</v>
      </c>
      <c r="L98">
        <f ca="1">Debt!L47*-1</f>
        <v>15339.543591873949</v>
      </c>
      <c r="M98">
        <f ca="1">Debt!M47*-1</f>
        <v>15889.378288785989</v>
      </c>
      <c r="N98">
        <f ca="1">Debt!N47*-1</f>
        <v>16461.312803596764</v>
      </c>
      <c r="O98">
        <f ca="1">Debt!O47*-1</f>
        <v>17056.231129022246</v>
      </c>
      <c r="P98">
        <f ca="1">Debt!P47*-1</f>
        <v>17675.052617486996</v>
      </c>
      <c r="Q98">
        <f ca="1">Debt!Q47*-1</f>
        <v>18318.733395512601</v>
      </c>
      <c r="R98">
        <f ca="1">Debt!R47*-1</f>
        <v>18988.267834681516</v>
      </c>
      <c r="S98">
        <f ca="1">Debt!S47*-1</f>
        <v>19684.690081439418</v>
      </c>
      <c r="T98">
        <f ca="1">Debt!T47*-1</f>
        <v>20409.075648089914</v>
      </c>
      <c r="U98">
        <f ca="1">Debt!U47*-1</f>
        <v>21162.543067428698</v>
      </c>
      <c r="V98">
        <f ca="1">Debt!V47*-1</f>
        <v>21946.255613563299</v>
      </c>
      <c r="W98">
        <f ca="1">Debt!W47*-1</f>
        <v>22761.423091565575</v>
      </c>
      <c r="X98">
        <f ca="1">Debt!X47*-1</f>
        <v>29200.372102707381</v>
      </c>
      <c r="Y98">
        <f ca="1">Debt!Y47*-1</f>
        <v>25428.396623247354</v>
      </c>
      <c r="Z98">
        <f ca="1">Debt!Z47*-1</f>
        <v>26556.844226416011</v>
      </c>
      <c r="AA98">
        <f ca="1">Debt!AA47*-1</f>
        <v>29478.828010675279</v>
      </c>
      <c r="AB98" t="str">
        <f t="shared" ca="1" si="4"/>
        <v>=Debt!AA47*-1</v>
      </c>
    </row>
    <row r="99" spans="1:28" ht="15" customHeight="1" x14ac:dyDescent="0.45">
      <c r="A99" s="82"/>
      <c r="B99" t="s">
        <v>247</v>
      </c>
      <c r="F99">
        <f ca="1">SUM(F97:F98)</f>
        <v>-44561.919999999998</v>
      </c>
      <c r="G99">
        <f t="shared" ref="G99:AA99" ca="1" si="5">SUM(G97:G98)</f>
        <v>-77490.857826379899</v>
      </c>
      <c r="H99">
        <f t="shared" ca="1" si="5"/>
        <v>11483.31411642937</v>
      </c>
      <c r="I99">
        <f t="shared" ca="1" si="5"/>
        <v>8026.3463960804838</v>
      </c>
      <c r="J99">
        <f t="shared" ca="1" si="5"/>
        <v>14732.635213680664</v>
      </c>
      <c r="K99">
        <f t="shared" ca="1" si="5"/>
        <v>14810.958719864571</v>
      </c>
      <c r="L99">
        <f t="shared" ca="1" si="5"/>
        <v>15339.543591873949</v>
      </c>
      <c r="M99">
        <f t="shared" ca="1" si="5"/>
        <v>15889.378288785989</v>
      </c>
      <c r="N99">
        <f t="shared" ca="1" si="5"/>
        <v>16461.312803596764</v>
      </c>
      <c r="O99">
        <f t="shared" ca="1" si="5"/>
        <v>17056.231129022246</v>
      </c>
      <c r="P99">
        <f t="shared" ca="1" si="5"/>
        <v>17675.052617486996</v>
      </c>
      <c r="Q99">
        <f t="shared" ca="1" si="5"/>
        <v>18318.733395512601</v>
      </c>
      <c r="R99">
        <f t="shared" ca="1" si="5"/>
        <v>18988.267834681516</v>
      </c>
      <c r="S99">
        <f t="shared" ca="1" si="5"/>
        <v>19684.690081439418</v>
      </c>
      <c r="T99">
        <f t="shared" ca="1" si="5"/>
        <v>20409.075648089914</v>
      </c>
      <c r="U99">
        <f t="shared" ca="1" si="5"/>
        <v>21162.543067428698</v>
      </c>
      <c r="V99">
        <f t="shared" ca="1" si="5"/>
        <v>21946.255613563299</v>
      </c>
      <c r="W99">
        <f t="shared" ca="1" si="5"/>
        <v>22761.423091565575</v>
      </c>
      <c r="X99">
        <f t="shared" ca="1" si="5"/>
        <v>29200.372102707381</v>
      </c>
      <c r="Y99">
        <f t="shared" ca="1" si="5"/>
        <v>25428.396623247354</v>
      </c>
      <c r="Z99">
        <f t="shared" ca="1" si="5"/>
        <v>26556.844226416011</v>
      </c>
      <c r="AA99">
        <f t="shared" ca="1" si="5"/>
        <v>29478.828010675279</v>
      </c>
      <c r="AB99" t="str">
        <f t="shared" ca="1" si="4"/>
        <v>=SUM(AA97:AA98)</v>
      </c>
    </row>
    <row r="100" spans="1:28" ht="15" customHeight="1" x14ac:dyDescent="0.45">
      <c r="A100" s="82"/>
      <c r="B100"/>
      <c r="L100" t="str">
        <f t="shared" ref="L100:L101" ca="1" si="6">IF(ISBLANK(K100),"",_xlfn.FORMULATEXT(K100))</f>
        <v/>
      </c>
    </row>
    <row r="101" spans="1:28" ht="15" customHeight="1" x14ac:dyDescent="0.45">
      <c r="A101" s="82"/>
      <c r="B101" t="s">
        <v>248</v>
      </c>
      <c r="C101" s="65"/>
      <c r="D101" s="65">
        <f ca="1">IRR(F99:AA99)</f>
        <v>0.11339796195809271</v>
      </c>
      <c r="L101" t="str">
        <f t="shared" ca="1" si="6"/>
        <v/>
      </c>
    </row>
    <row r="102" spans="1:28" ht="15" customHeight="1" x14ac:dyDescent="0.45">
      <c r="A102" s="82"/>
      <c r="B102"/>
      <c r="C102" s="65"/>
    </row>
    <row r="103" spans="1:28" ht="15" customHeight="1" x14ac:dyDescent="0.45">
      <c r="A103" s="82" t="s">
        <v>277</v>
      </c>
      <c r="B103"/>
      <c r="C103" s="65"/>
    </row>
    <row r="104" spans="1:28" ht="15" customHeight="1" x14ac:dyDescent="0.45">
      <c r="A104" s="82"/>
      <c r="B104"/>
      <c r="C104" s="65"/>
      <c r="F104" s="98" t="s">
        <v>311</v>
      </c>
    </row>
    <row r="105" spans="1:28" ht="15" customHeight="1" x14ac:dyDescent="0.45">
      <c r="A105" s="82"/>
      <c r="B105"/>
      <c r="K105" t="s">
        <v>274</v>
      </c>
    </row>
    <row r="106" spans="1:28" ht="15" customHeight="1" x14ac:dyDescent="0.45">
      <c r="A106" s="82"/>
      <c r="B106"/>
      <c r="H106" s="65">
        <f ca="1">D101</f>
        <v>0.11339796195809271</v>
      </c>
      <c r="I106" s="102">
        <v>0.5</v>
      </c>
      <c r="J106" s="102">
        <v>0.6</v>
      </c>
      <c r="K106" s="102">
        <v>0.7</v>
      </c>
      <c r="L106" s="102">
        <v>0.8</v>
      </c>
      <c r="M106" s="102">
        <v>0.9</v>
      </c>
    </row>
    <row r="107" spans="1:28" ht="15" customHeight="1" x14ac:dyDescent="0.45">
      <c r="A107" s="82"/>
      <c r="E107" t="s">
        <v>24</v>
      </c>
      <c r="G107" t="s">
        <v>275</v>
      </c>
      <c r="H107" s="102">
        <v>0.25</v>
      </c>
      <c r="I107" s="65">
        <f t="dataTable" ref="I107:M108" dt2D="1" dtr="1" r1="D66" r2="D18" ca="1"/>
        <v>2.5970267309902484E-2</v>
      </c>
      <c r="J107" s="65">
        <v>3.3674202743604331E-2</v>
      </c>
      <c r="K107" s="65">
        <v>4.7236676956170509E-2</v>
      </c>
      <c r="L107" s="65">
        <v>6.6745986537710245E-2</v>
      </c>
      <c r="M107" s="65">
        <v>0.10283439511703452</v>
      </c>
    </row>
    <row r="108" spans="1:28" ht="15" customHeight="1" x14ac:dyDescent="0.45">
      <c r="A108" s="82"/>
      <c r="B108"/>
      <c r="G108" t="s">
        <v>276</v>
      </c>
      <c r="H108" s="102">
        <v>0.4</v>
      </c>
      <c r="I108" s="65">
        <v>0.11339796195809271</v>
      </c>
      <c r="J108" s="65">
        <v>0.12970631118446851</v>
      </c>
      <c r="K108" s="106">
        <v>0.14330218404740025</v>
      </c>
      <c r="L108" s="91">
        <v>0.15900214334858176</v>
      </c>
      <c r="M108" s="91">
        <v>0.20041421178805008</v>
      </c>
    </row>
    <row r="109" spans="1:28" ht="15" customHeight="1" x14ac:dyDescent="0.45">
      <c r="A109" s="82"/>
      <c r="B109"/>
    </row>
    <row r="110" spans="1:28" ht="15" customHeight="1" x14ac:dyDescent="0.45">
      <c r="A110" s="82"/>
      <c r="B110"/>
    </row>
    <row r="111" spans="1:28" ht="15" customHeight="1" x14ac:dyDescent="0.45">
      <c r="A111" s="82"/>
      <c r="B111"/>
      <c r="F111" s="98" t="s">
        <v>312</v>
      </c>
    </row>
    <row r="112" spans="1:28" ht="15" customHeight="1" x14ac:dyDescent="0.45">
      <c r="A112" s="82"/>
      <c r="B112"/>
    </row>
    <row r="113" spans="1:13" ht="15" customHeight="1" x14ac:dyDescent="0.45">
      <c r="A113" s="82"/>
      <c r="B113"/>
      <c r="K113" t="s">
        <v>274</v>
      </c>
    </row>
    <row r="114" spans="1:13" ht="15" customHeight="1" x14ac:dyDescent="0.45">
      <c r="A114" s="82"/>
      <c r="B114"/>
      <c r="H114">
        <f ca="1">D94</f>
        <v>0</v>
      </c>
      <c r="I114" s="102">
        <f>I106</f>
        <v>0.5</v>
      </c>
      <c r="J114" s="102">
        <f>J106</f>
        <v>0.6</v>
      </c>
      <c r="K114" s="102">
        <f>K106</f>
        <v>0.7</v>
      </c>
      <c r="L114" s="102">
        <f>L106</f>
        <v>0.8</v>
      </c>
      <c r="M114" s="102">
        <f>M106</f>
        <v>0.9</v>
      </c>
    </row>
    <row r="115" spans="1:13" ht="15" customHeight="1" x14ac:dyDescent="0.45">
      <c r="A115"/>
      <c r="B115"/>
      <c r="E115" t="s">
        <v>24</v>
      </c>
      <c r="G115" t="s">
        <v>275</v>
      </c>
      <c r="H115" s="102">
        <v>0.25</v>
      </c>
      <c r="I115">
        <f t="dataTable" ref="I115:M116" dt2D="1" dtr="1" r1="D66" r2="D18" ca="1"/>
        <v>0</v>
      </c>
      <c r="J115">
        <v>0</v>
      </c>
      <c r="K115">
        <v>1</v>
      </c>
      <c r="L115">
        <v>11</v>
      </c>
      <c r="M115">
        <v>20</v>
      </c>
    </row>
    <row r="116" spans="1:13" ht="15" customHeight="1" x14ac:dyDescent="0.45">
      <c r="A116" s="82"/>
      <c r="B116"/>
      <c r="G116" t="s">
        <v>276</v>
      </c>
      <c r="H116" s="102">
        <f>H108</f>
        <v>0.4</v>
      </c>
      <c r="I116">
        <v>0</v>
      </c>
      <c r="J116">
        <v>0</v>
      </c>
      <c r="K116">
        <v>0</v>
      </c>
      <c r="L116">
        <v>0</v>
      </c>
      <c r="M116">
        <v>0</v>
      </c>
    </row>
    <row r="117" spans="1:13" ht="15" customHeight="1" x14ac:dyDescent="0.45">
      <c r="A117" s="59" t="s">
        <v>43</v>
      </c>
    </row>
    <row r="118" spans="1:13" ht="15" customHeight="1" x14ac:dyDescent="0.45">
      <c r="A118" s="59"/>
    </row>
    <row r="119" spans="1:13" ht="15" customHeight="1" x14ac:dyDescent="0.45">
      <c r="A119"/>
      <c r="B119"/>
    </row>
    <row r="120" spans="1:13" ht="15" customHeight="1" x14ac:dyDescent="0.45">
      <c r="A120"/>
      <c r="B120"/>
    </row>
    <row r="121" spans="1:13" ht="15" customHeight="1" x14ac:dyDescent="0.45">
      <c r="A121"/>
      <c r="B121"/>
    </row>
    <row r="122" spans="1:13" ht="15" customHeight="1" x14ac:dyDescent="0.45">
      <c r="A122"/>
      <c r="B122"/>
    </row>
    <row r="123" spans="1:13" ht="15" customHeight="1" x14ac:dyDescent="0.45">
      <c r="A123"/>
      <c r="B123"/>
    </row>
    <row r="124" spans="1:13" ht="15" customHeight="1" x14ac:dyDescent="0.45">
      <c r="A124"/>
      <c r="B124"/>
    </row>
    <row r="125" spans="1:13" ht="15" customHeight="1" x14ac:dyDescent="0.45">
      <c r="A125"/>
      <c r="B125"/>
    </row>
    <row r="126" spans="1:13" ht="15" customHeight="1" x14ac:dyDescent="0.45">
      <c r="A126"/>
      <c r="B126"/>
    </row>
    <row r="127" spans="1:13" ht="15" customHeight="1" x14ac:dyDescent="0.45">
      <c r="A127"/>
      <c r="B127"/>
    </row>
    <row r="128" spans="1:13" ht="15" customHeight="1" x14ac:dyDescent="0.45">
      <c r="A128"/>
      <c r="B128"/>
    </row>
    <row r="129" spans="1:2" ht="15" customHeight="1" x14ac:dyDescent="0.45">
      <c r="A129"/>
      <c r="B129"/>
    </row>
    <row r="130" spans="1:2" ht="15" customHeight="1" x14ac:dyDescent="0.45">
      <c r="A130"/>
      <c r="B130"/>
    </row>
    <row r="131" spans="1:2" ht="15" customHeight="1" x14ac:dyDescent="0.45">
      <c r="A131"/>
      <c r="B131"/>
    </row>
    <row r="132" spans="1:2" ht="15" customHeight="1" x14ac:dyDescent="0.45">
      <c r="A132"/>
      <c r="B132"/>
    </row>
    <row r="133" spans="1:2" ht="15" customHeight="1" x14ac:dyDescent="0.45">
      <c r="A133"/>
      <c r="B133"/>
    </row>
    <row r="134" spans="1:2" ht="15" customHeight="1" x14ac:dyDescent="0.45">
      <c r="A134"/>
      <c r="B134"/>
    </row>
    <row r="135" spans="1:2" ht="15" customHeight="1" x14ac:dyDescent="0.45">
      <c r="A135"/>
      <c r="B135"/>
    </row>
    <row r="136" spans="1:2" ht="15" customHeight="1" x14ac:dyDescent="0.45">
      <c r="A136"/>
      <c r="B136"/>
    </row>
    <row r="137" spans="1:2" ht="15" customHeight="1" x14ac:dyDescent="0.45">
      <c r="A137"/>
      <c r="B137"/>
    </row>
    <row r="138" spans="1:2" ht="15" customHeight="1" x14ac:dyDescent="0.45">
      <c r="A138"/>
      <c r="B138"/>
    </row>
    <row r="139" spans="1:2" ht="15" customHeight="1" x14ac:dyDescent="0.45">
      <c r="A139"/>
      <c r="B139"/>
    </row>
    <row r="140" spans="1:2" ht="15" customHeight="1" x14ac:dyDescent="0.45">
      <c r="A140"/>
      <c r="B140"/>
    </row>
    <row r="141" spans="1:2" ht="15" customHeight="1" x14ac:dyDescent="0.45">
      <c r="A141"/>
      <c r="B141"/>
    </row>
    <row r="142" spans="1:2" ht="15" customHeight="1" x14ac:dyDescent="0.45">
      <c r="A142"/>
      <c r="B142"/>
    </row>
    <row r="143" spans="1:2" ht="15" customHeight="1" x14ac:dyDescent="0.45">
      <c r="A143"/>
      <c r="B143"/>
    </row>
    <row r="144" spans="1:2" ht="15" customHeight="1" x14ac:dyDescent="0.45">
      <c r="A144"/>
      <c r="B144"/>
    </row>
    <row r="145" spans="1:2" ht="15" customHeight="1" x14ac:dyDescent="0.45">
      <c r="A145"/>
      <c r="B145"/>
    </row>
    <row r="146" spans="1:2" ht="15" customHeight="1" x14ac:dyDescent="0.45">
      <c r="A146"/>
      <c r="B146"/>
    </row>
    <row r="147" spans="1:2" ht="15" customHeight="1" x14ac:dyDescent="0.45">
      <c r="A147"/>
      <c r="B147"/>
    </row>
    <row r="148" spans="1:2" ht="15" customHeight="1" x14ac:dyDescent="0.45">
      <c r="A148"/>
      <c r="B148"/>
    </row>
    <row r="149" spans="1:2" ht="15" customHeight="1" x14ac:dyDescent="0.45">
      <c r="A149"/>
      <c r="B149"/>
    </row>
    <row r="150" spans="1:2" ht="15" customHeight="1" x14ac:dyDescent="0.45">
      <c r="A150"/>
      <c r="B150"/>
    </row>
    <row r="151" spans="1:2" ht="15" customHeight="1" x14ac:dyDescent="0.45">
      <c r="A151"/>
      <c r="B151"/>
    </row>
    <row r="152" spans="1:2" ht="15" customHeight="1" x14ac:dyDescent="0.45">
      <c r="A152"/>
      <c r="B152"/>
    </row>
    <row r="153" spans="1:2" ht="15" customHeight="1" x14ac:dyDescent="0.45">
      <c r="A153"/>
      <c r="B153"/>
    </row>
    <row r="154" spans="1:2" ht="15" customHeight="1" x14ac:dyDescent="0.45">
      <c r="A154"/>
      <c r="B154"/>
    </row>
    <row r="155" spans="1:2" ht="15" customHeight="1" x14ac:dyDescent="0.45">
      <c r="A155"/>
      <c r="B155"/>
    </row>
    <row r="156" spans="1:2" ht="15" customHeight="1" x14ac:dyDescent="0.45">
      <c r="A156"/>
      <c r="B156"/>
    </row>
    <row r="157" spans="1:2" ht="15" customHeight="1" x14ac:dyDescent="0.45">
      <c r="A157"/>
      <c r="B157"/>
    </row>
    <row r="158" spans="1:2" ht="15" customHeight="1" x14ac:dyDescent="0.45">
      <c r="A158"/>
      <c r="B158"/>
    </row>
    <row r="159" spans="1:2" ht="15" customHeight="1" x14ac:dyDescent="0.45">
      <c r="A159"/>
      <c r="B159"/>
    </row>
    <row r="160" spans="1:2" ht="15" customHeight="1" x14ac:dyDescent="0.45">
      <c r="A160"/>
      <c r="B160"/>
    </row>
    <row r="161" spans="1:2" ht="15" customHeight="1" x14ac:dyDescent="0.45">
      <c r="A161"/>
      <c r="B161"/>
    </row>
    <row r="162" spans="1:2" ht="15" customHeight="1" x14ac:dyDescent="0.45">
      <c r="A162"/>
      <c r="B162"/>
    </row>
    <row r="163" spans="1:2" ht="15" customHeight="1" x14ac:dyDescent="0.45">
      <c r="A163"/>
      <c r="B163"/>
    </row>
    <row r="164" spans="1:2" ht="15" customHeight="1" x14ac:dyDescent="0.45">
      <c r="A164"/>
      <c r="B164"/>
    </row>
    <row r="165" spans="1:2" ht="15" customHeight="1" x14ac:dyDescent="0.45">
      <c r="A165"/>
      <c r="B165"/>
    </row>
    <row r="166" spans="1:2" ht="15" customHeight="1" x14ac:dyDescent="0.45">
      <c r="A166"/>
      <c r="B166"/>
    </row>
    <row r="167" spans="1:2" ht="15" customHeight="1" x14ac:dyDescent="0.45">
      <c r="A167"/>
      <c r="B167"/>
    </row>
    <row r="168" spans="1:2" ht="15" customHeight="1" x14ac:dyDescent="0.45">
      <c r="A168"/>
      <c r="B168"/>
    </row>
    <row r="169" spans="1:2" ht="15" customHeight="1" x14ac:dyDescent="0.45">
      <c r="A169"/>
      <c r="B169"/>
    </row>
    <row r="170" spans="1:2" ht="15" customHeight="1" x14ac:dyDescent="0.45">
      <c r="A170"/>
      <c r="B170"/>
    </row>
    <row r="171" spans="1:2" ht="15" customHeight="1" x14ac:dyDescent="0.45">
      <c r="A171"/>
      <c r="B171"/>
    </row>
    <row r="172" spans="1:2" ht="15" customHeight="1" x14ac:dyDescent="0.45">
      <c r="A172"/>
      <c r="B172"/>
    </row>
    <row r="173" spans="1:2" ht="15" customHeight="1" x14ac:dyDescent="0.45">
      <c r="A173"/>
      <c r="B173"/>
    </row>
    <row r="174" spans="1:2" ht="15" customHeight="1" x14ac:dyDescent="0.45">
      <c r="A174"/>
      <c r="B174"/>
    </row>
    <row r="175" spans="1:2" ht="15" customHeight="1" x14ac:dyDescent="0.45">
      <c r="A175"/>
      <c r="B175"/>
    </row>
    <row r="176" spans="1:2" ht="15" customHeight="1" x14ac:dyDescent="0.45">
      <c r="A176"/>
      <c r="B176"/>
    </row>
    <row r="177" spans="1:2" ht="15" customHeight="1" x14ac:dyDescent="0.45">
      <c r="A177"/>
      <c r="B177"/>
    </row>
    <row r="178" spans="1:2" ht="15" customHeight="1" x14ac:dyDescent="0.45">
      <c r="A178"/>
      <c r="B178"/>
    </row>
    <row r="179" spans="1:2" ht="15" customHeight="1" x14ac:dyDescent="0.45">
      <c r="A179"/>
      <c r="B179"/>
    </row>
    <row r="180" spans="1:2" ht="15" customHeight="1" x14ac:dyDescent="0.45">
      <c r="A180"/>
      <c r="B180"/>
    </row>
    <row r="181" spans="1:2" ht="15" customHeight="1" x14ac:dyDescent="0.45">
      <c r="A181"/>
      <c r="B181"/>
    </row>
    <row r="182" spans="1:2" ht="15" customHeight="1" x14ac:dyDescent="0.45">
      <c r="A182"/>
      <c r="B182"/>
    </row>
    <row r="183" spans="1:2" ht="15" customHeight="1" x14ac:dyDescent="0.45">
      <c r="A183"/>
      <c r="B183"/>
    </row>
    <row r="184" spans="1:2" ht="15" customHeight="1" x14ac:dyDescent="0.45">
      <c r="A184"/>
      <c r="B184"/>
    </row>
    <row r="185" spans="1:2" ht="15" customHeight="1" x14ac:dyDescent="0.45">
      <c r="A185"/>
      <c r="B185"/>
    </row>
    <row r="186" spans="1:2" ht="15" customHeight="1" x14ac:dyDescent="0.45">
      <c r="A186"/>
      <c r="B186"/>
    </row>
    <row r="187" spans="1:2" ht="15" customHeight="1" x14ac:dyDescent="0.45">
      <c r="A187"/>
      <c r="B187"/>
    </row>
    <row r="188" spans="1:2" ht="15" customHeight="1" x14ac:dyDescent="0.45">
      <c r="A188"/>
      <c r="B188"/>
    </row>
    <row r="189" spans="1:2" ht="15" customHeight="1" x14ac:dyDescent="0.45">
      <c r="A189"/>
      <c r="B189"/>
    </row>
    <row r="190" spans="1:2" ht="15" customHeight="1" x14ac:dyDescent="0.45">
      <c r="A190"/>
      <c r="B190"/>
    </row>
    <row r="191" spans="1:2" ht="15" customHeight="1" x14ac:dyDescent="0.45">
      <c r="A191"/>
      <c r="B191"/>
    </row>
    <row r="192" spans="1:2" ht="15" customHeight="1" x14ac:dyDescent="0.45">
      <c r="A192"/>
      <c r="B192"/>
    </row>
    <row r="193" spans="1:2" ht="15" customHeight="1" x14ac:dyDescent="0.45">
      <c r="A193"/>
      <c r="B193"/>
    </row>
    <row r="194" spans="1:2" ht="15" customHeight="1" x14ac:dyDescent="0.45">
      <c r="A194"/>
      <c r="B194"/>
    </row>
    <row r="195" spans="1:2" ht="15" customHeight="1" x14ac:dyDescent="0.45">
      <c r="A195"/>
      <c r="B195"/>
    </row>
    <row r="196" spans="1:2" ht="15" customHeight="1" x14ac:dyDescent="0.45">
      <c r="A196"/>
      <c r="B196"/>
    </row>
    <row r="197" spans="1:2" ht="15" customHeight="1" x14ac:dyDescent="0.45">
      <c r="A197"/>
      <c r="B197"/>
    </row>
    <row r="198" spans="1:2" ht="15" customHeight="1" x14ac:dyDescent="0.45">
      <c r="A198"/>
      <c r="B198"/>
    </row>
    <row r="199" spans="1:2" ht="15" customHeight="1" x14ac:dyDescent="0.45">
      <c r="A199"/>
      <c r="B199"/>
    </row>
    <row r="200" spans="1:2" ht="15" customHeight="1" x14ac:dyDescent="0.45">
      <c r="A200"/>
      <c r="B200"/>
    </row>
    <row r="201" spans="1:2" ht="15" customHeight="1" x14ac:dyDescent="0.45">
      <c r="A201"/>
      <c r="B201"/>
    </row>
    <row r="202" spans="1:2" ht="15" customHeight="1" x14ac:dyDescent="0.45">
      <c r="A202"/>
      <c r="B202"/>
    </row>
    <row r="203" spans="1:2" ht="15" customHeight="1" x14ac:dyDescent="0.45">
      <c r="A203"/>
      <c r="B203"/>
    </row>
    <row r="204" spans="1:2" ht="15" customHeight="1" x14ac:dyDescent="0.45">
      <c r="A204"/>
      <c r="B204"/>
    </row>
    <row r="205" spans="1:2" ht="15" customHeight="1" x14ac:dyDescent="0.45">
      <c r="A205"/>
      <c r="B205"/>
    </row>
    <row r="206" spans="1:2" ht="15" customHeight="1" x14ac:dyDescent="0.45">
      <c r="A206"/>
      <c r="B206"/>
    </row>
    <row r="207" spans="1:2" ht="15" customHeight="1" x14ac:dyDescent="0.45">
      <c r="A207"/>
      <c r="B207"/>
    </row>
    <row r="208" spans="1:2" ht="15" customHeight="1" x14ac:dyDescent="0.45">
      <c r="A208"/>
      <c r="B208"/>
    </row>
    <row r="209" spans="1:2" ht="15" customHeight="1" x14ac:dyDescent="0.45">
      <c r="A209"/>
      <c r="B209"/>
    </row>
    <row r="210" spans="1:2" ht="15" customHeight="1" x14ac:dyDescent="0.45">
      <c r="A210"/>
      <c r="B210"/>
    </row>
    <row r="211" spans="1:2" ht="15" customHeight="1" x14ac:dyDescent="0.45">
      <c r="A211"/>
      <c r="B211"/>
    </row>
    <row r="212" spans="1:2" ht="15" customHeight="1" x14ac:dyDescent="0.45">
      <c r="A212"/>
      <c r="B212"/>
    </row>
    <row r="213" spans="1:2" ht="15" customHeight="1" x14ac:dyDescent="0.45">
      <c r="A213"/>
      <c r="B213"/>
    </row>
    <row r="214" spans="1:2" ht="15" customHeight="1" x14ac:dyDescent="0.45">
      <c r="A214"/>
      <c r="B214"/>
    </row>
    <row r="215" spans="1:2" ht="15" customHeight="1" x14ac:dyDescent="0.45">
      <c r="A215"/>
      <c r="B215"/>
    </row>
    <row r="216" spans="1:2" ht="15" customHeight="1" x14ac:dyDescent="0.45">
      <c r="A216"/>
      <c r="B216"/>
    </row>
    <row r="217" spans="1:2" ht="15" customHeight="1" x14ac:dyDescent="0.45">
      <c r="A217"/>
      <c r="B217"/>
    </row>
    <row r="218" spans="1:2" ht="15" customHeight="1" x14ac:dyDescent="0.45">
      <c r="A218"/>
      <c r="B218"/>
    </row>
    <row r="219" spans="1:2" ht="15" customHeight="1" x14ac:dyDescent="0.45">
      <c r="A219"/>
      <c r="B219"/>
    </row>
    <row r="220" spans="1:2" ht="15" customHeight="1" x14ac:dyDescent="0.45">
      <c r="A220"/>
      <c r="B220"/>
    </row>
    <row r="221" spans="1:2" ht="15" customHeight="1" x14ac:dyDescent="0.45">
      <c r="A221"/>
      <c r="B221"/>
    </row>
    <row r="222" spans="1:2" ht="15" customHeight="1" x14ac:dyDescent="0.45">
      <c r="A222"/>
      <c r="B222"/>
    </row>
    <row r="223" spans="1:2" ht="15" customHeight="1" x14ac:dyDescent="0.45">
      <c r="A223"/>
      <c r="B223"/>
    </row>
    <row r="224" spans="1:2" ht="15" customHeight="1" x14ac:dyDescent="0.45">
      <c r="A224"/>
      <c r="B224"/>
    </row>
    <row r="225" spans="1:2" ht="15" customHeight="1" x14ac:dyDescent="0.45">
      <c r="A225"/>
      <c r="B225"/>
    </row>
    <row r="226" spans="1:2" ht="15" customHeight="1" x14ac:dyDescent="0.45">
      <c r="A226"/>
      <c r="B226"/>
    </row>
    <row r="227" spans="1:2" ht="15" customHeight="1" x14ac:dyDescent="0.45">
      <c r="A227"/>
      <c r="B227"/>
    </row>
    <row r="228" spans="1:2" ht="15" customHeight="1" x14ac:dyDescent="0.45">
      <c r="A228"/>
      <c r="B228"/>
    </row>
    <row r="229" spans="1:2" ht="15" customHeight="1" x14ac:dyDescent="0.45">
      <c r="A229"/>
      <c r="B229"/>
    </row>
    <row r="230" spans="1:2" ht="15" customHeight="1" x14ac:dyDescent="0.45">
      <c r="A230"/>
      <c r="B230"/>
    </row>
    <row r="231" spans="1:2" ht="15" customHeight="1" x14ac:dyDescent="0.45">
      <c r="A231"/>
      <c r="B231"/>
    </row>
    <row r="232" spans="1:2" ht="15" customHeight="1" x14ac:dyDescent="0.45">
      <c r="A232"/>
      <c r="B232"/>
    </row>
    <row r="233" spans="1:2" ht="15" customHeight="1" x14ac:dyDescent="0.45">
      <c r="A233"/>
      <c r="B233"/>
    </row>
    <row r="234" spans="1:2" ht="15" customHeight="1" x14ac:dyDescent="0.45">
      <c r="A234"/>
      <c r="B234"/>
    </row>
    <row r="235" spans="1:2" ht="15" customHeight="1" x14ac:dyDescent="0.45">
      <c r="A235"/>
      <c r="B235"/>
    </row>
    <row r="236" spans="1:2" ht="15" customHeight="1" x14ac:dyDescent="0.45">
      <c r="A236"/>
      <c r="B236"/>
    </row>
    <row r="237" spans="1:2" ht="15" customHeight="1" x14ac:dyDescent="0.45">
      <c r="A237"/>
      <c r="B237"/>
    </row>
    <row r="238" spans="1:2" ht="15" customHeight="1" x14ac:dyDescent="0.45">
      <c r="A238"/>
      <c r="B238"/>
    </row>
    <row r="239" spans="1:2" ht="15" customHeight="1" x14ac:dyDescent="0.45">
      <c r="A239"/>
      <c r="B239"/>
    </row>
    <row r="240" spans="1:2" ht="15" customHeight="1" x14ac:dyDescent="0.45">
      <c r="A240"/>
      <c r="B240"/>
    </row>
    <row r="241" spans="1:2" ht="15" customHeight="1" x14ac:dyDescent="0.45">
      <c r="A241"/>
      <c r="B241"/>
    </row>
    <row r="242" spans="1:2" ht="15" customHeight="1" x14ac:dyDescent="0.45">
      <c r="A242"/>
      <c r="B242"/>
    </row>
    <row r="243" spans="1:2" ht="15" customHeight="1" x14ac:dyDescent="0.45">
      <c r="A243"/>
      <c r="B243"/>
    </row>
    <row r="244" spans="1:2" ht="15" customHeight="1" x14ac:dyDescent="0.45">
      <c r="A244"/>
      <c r="B244"/>
    </row>
    <row r="245" spans="1:2" ht="15" customHeight="1" x14ac:dyDescent="0.45">
      <c r="A245"/>
      <c r="B245"/>
    </row>
    <row r="246" spans="1:2" ht="15" customHeight="1" x14ac:dyDescent="0.45">
      <c r="A246"/>
      <c r="B246"/>
    </row>
    <row r="247" spans="1:2" ht="15" customHeight="1" x14ac:dyDescent="0.45">
      <c r="A247"/>
      <c r="B247"/>
    </row>
    <row r="248" spans="1:2" ht="15" customHeight="1" x14ac:dyDescent="0.45">
      <c r="A248"/>
      <c r="B248"/>
    </row>
    <row r="249" spans="1:2" ht="15" customHeight="1" x14ac:dyDescent="0.45">
      <c r="A249"/>
      <c r="B249"/>
    </row>
    <row r="250" spans="1:2" ht="15" customHeight="1" x14ac:dyDescent="0.45">
      <c r="A250"/>
      <c r="B250"/>
    </row>
    <row r="251" spans="1:2" ht="15" customHeight="1" x14ac:dyDescent="0.45">
      <c r="A251"/>
      <c r="B251"/>
    </row>
    <row r="252" spans="1:2" ht="15" customHeight="1" x14ac:dyDescent="0.45">
      <c r="A252"/>
      <c r="B252"/>
    </row>
    <row r="253" spans="1:2" ht="15" customHeight="1" x14ac:dyDescent="0.45">
      <c r="A253"/>
      <c r="B253"/>
    </row>
    <row r="254" spans="1:2" ht="15" customHeight="1" x14ac:dyDescent="0.45">
      <c r="A254"/>
      <c r="B254"/>
    </row>
    <row r="255" spans="1:2" ht="15" customHeight="1" x14ac:dyDescent="0.45">
      <c r="A255"/>
      <c r="B255"/>
    </row>
    <row r="256" spans="1:2" ht="15" customHeight="1" x14ac:dyDescent="0.45">
      <c r="A256"/>
      <c r="B256"/>
    </row>
    <row r="257" spans="1:2" ht="15" customHeight="1" x14ac:dyDescent="0.45">
      <c r="A257"/>
      <c r="B257"/>
    </row>
    <row r="258" spans="1:2" ht="15" customHeight="1" x14ac:dyDescent="0.45">
      <c r="A258"/>
      <c r="B258"/>
    </row>
    <row r="259" spans="1:2" ht="15" customHeight="1" x14ac:dyDescent="0.45">
      <c r="A259"/>
      <c r="B259"/>
    </row>
    <row r="260" spans="1:2" ht="15" customHeight="1" x14ac:dyDescent="0.45">
      <c r="A260"/>
      <c r="B260"/>
    </row>
    <row r="261" spans="1:2" ht="15" customHeight="1" x14ac:dyDescent="0.45">
      <c r="A261"/>
      <c r="B261"/>
    </row>
    <row r="262" spans="1:2" ht="15" customHeight="1" x14ac:dyDescent="0.45">
      <c r="A262"/>
      <c r="B262"/>
    </row>
    <row r="263" spans="1:2" ht="15" customHeight="1" x14ac:dyDescent="0.45">
      <c r="A263"/>
      <c r="B263"/>
    </row>
    <row r="264" spans="1:2" ht="15" customHeight="1" x14ac:dyDescent="0.45">
      <c r="A264"/>
      <c r="B264"/>
    </row>
    <row r="265" spans="1:2" ht="15" customHeight="1" x14ac:dyDescent="0.45">
      <c r="A265"/>
      <c r="B265"/>
    </row>
    <row r="266" spans="1:2" ht="15" customHeight="1" x14ac:dyDescent="0.45">
      <c r="A266"/>
      <c r="B266"/>
    </row>
    <row r="267" spans="1:2" ht="15" customHeight="1" x14ac:dyDescent="0.45">
      <c r="A267"/>
      <c r="B267"/>
    </row>
    <row r="268" spans="1:2" ht="15" customHeight="1" x14ac:dyDescent="0.45">
      <c r="A268"/>
      <c r="B268"/>
    </row>
    <row r="269" spans="1:2" ht="15" customHeight="1" x14ac:dyDescent="0.45">
      <c r="A269"/>
      <c r="B269"/>
    </row>
    <row r="270" spans="1:2" ht="15" customHeight="1" x14ac:dyDescent="0.45">
      <c r="A270"/>
      <c r="B270"/>
    </row>
    <row r="271" spans="1:2" ht="15" customHeight="1" x14ac:dyDescent="0.45">
      <c r="A271"/>
      <c r="B271"/>
    </row>
    <row r="272" spans="1:2" ht="15" customHeight="1" x14ac:dyDescent="0.45">
      <c r="A272"/>
      <c r="B272"/>
    </row>
    <row r="273" spans="1:2" ht="15" customHeight="1" x14ac:dyDescent="0.45">
      <c r="A273"/>
      <c r="B273"/>
    </row>
    <row r="274" spans="1:2" ht="15" customHeight="1" x14ac:dyDescent="0.45">
      <c r="A274"/>
      <c r="B274"/>
    </row>
    <row r="275" spans="1:2" ht="15" customHeight="1" x14ac:dyDescent="0.45">
      <c r="A275"/>
      <c r="B275"/>
    </row>
    <row r="276" spans="1:2" ht="15" customHeight="1" x14ac:dyDescent="0.45">
      <c r="A276"/>
      <c r="B276"/>
    </row>
    <row r="277" spans="1:2" ht="15" customHeight="1" x14ac:dyDescent="0.45">
      <c r="A277"/>
      <c r="B277"/>
    </row>
    <row r="278" spans="1:2" ht="15" customHeight="1" x14ac:dyDescent="0.45">
      <c r="A278"/>
      <c r="B278"/>
    </row>
    <row r="279" spans="1:2" ht="15" customHeight="1" x14ac:dyDescent="0.45">
      <c r="A279"/>
      <c r="B279"/>
    </row>
    <row r="280" spans="1:2" ht="15" customHeight="1" x14ac:dyDescent="0.45">
      <c r="A280"/>
      <c r="B280"/>
    </row>
    <row r="281" spans="1:2" ht="15" customHeight="1" x14ac:dyDescent="0.45">
      <c r="A281"/>
      <c r="B281"/>
    </row>
    <row r="282" spans="1:2" ht="15" customHeight="1" x14ac:dyDescent="0.45">
      <c r="A282"/>
      <c r="B282"/>
    </row>
    <row r="283" spans="1:2" ht="15" customHeight="1" x14ac:dyDescent="0.45">
      <c r="A283"/>
      <c r="B283"/>
    </row>
    <row r="284" spans="1:2" ht="15" customHeight="1" x14ac:dyDescent="0.45">
      <c r="A284"/>
      <c r="B284"/>
    </row>
    <row r="285" spans="1:2" ht="15" customHeight="1" x14ac:dyDescent="0.45">
      <c r="A285"/>
      <c r="B285"/>
    </row>
    <row r="286" spans="1:2" ht="15" customHeight="1" x14ac:dyDescent="0.45">
      <c r="A286"/>
      <c r="B286"/>
    </row>
    <row r="287" spans="1:2" ht="15" customHeight="1" x14ac:dyDescent="0.45">
      <c r="A287"/>
      <c r="B287"/>
    </row>
    <row r="288" spans="1:2" ht="15" customHeight="1" x14ac:dyDescent="0.45">
      <c r="A288"/>
      <c r="B288"/>
    </row>
    <row r="289" spans="1:2" ht="15" customHeight="1" x14ac:dyDescent="0.45">
      <c r="A289"/>
      <c r="B289"/>
    </row>
    <row r="290" spans="1:2" ht="15" customHeight="1" x14ac:dyDescent="0.45">
      <c r="A290"/>
      <c r="B290"/>
    </row>
    <row r="291" spans="1:2" ht="15" customHeight="1" x14ac:dyDescent="0.45">
      <c r="A291"/>
      <c r="B291"/>
    </row>
    <row r="292" spans="1:2" ht="15" customHeight="1" x14ac:dyDescent="0.45">
      <c r="A292"/>
      <c r="B292"/>
    </row>
    <row r="293" spans="1:2" ht="15" customHeight="1" x14ac:dyDescent="0.45">
      <c r="A293"/>
      <c r="B293"/>
    </row>
    <row r="294" spans="1:2" ht="15" customHeight="1" x14ac:dyDescent="0.45">
      <c r="A294"/>
      <c r="B294"/>
    </row>
    <row r="295" spans="1:2" ht="15" customHeight="1" x14ac:dyDescent="0.45">
      <c r="A295"/>
      <c r="B295"/>
    </row>
    <row r="296" spans="1:2" ht="15" customHeight="1" x14ac:dyDescent="0.45">
      <c r="A296"/>
      <c r="B296"/>
    </row>
    <row r="297" spans="1:2" ht="15" customHeight="1" x14ac:dyDescent="0.45">
      <c r="A297"/>
      <c r="B297"/>
    </row>
    <row r="298" spans="1:2" ht="15" customHeight="1" x14ac:dyDescent="0.45">
      <c r="A298"/>
      <c r="B298"/>
    </row>
    <row r="299" spans="1:2" ht="15" customHeight="1" x14ac:dyDescent="0.45">
      <c r="A299"/>
      <c r="B299"/>
    </row>
    <row r="300" spans="1:2" ht="15" customHeight="1" x14ac:dyDescent="0.45">
      <c r="A300"/>
      <c r="B300"/>
    </row>
    <row r="301" spans="1:2" ht="15" customHeight="1" x14ac:dyDescent="0.45">
      <c r="A301"/>
      <c r="B301"/>
    </row>
    <row r="302" spans="1:2" ht="15" customHeight="1" x14ac:dyDescent="0.45">
      <c r="A302"/>
      <c r="B302"/>
    </row>
    <row r="303" spans="1:2" ht="15" customHeight="1" x14ac:dyDescent="0.45">
      <c r="A303"/>
      <c r="B303"/>
    </row>
    <row r="304" spans="1:2" ht="15" customHeight="1" x14ac:dyDescent="0.45">
      <c r="A304"/>
      <c r="B304"/>
    </row>
    <row r="305" spans="1:2" ht="15" customHeight="1" x14ac:dyDescent="0.45">
      <c r="A305"/>
      <c r="B305"/>
    </row>
    <row r="306" spans="1:2" ht="15" customHeight="1" x14ac:dyDescent="0.45">
      <c r="A306"/>
      <c r="B306"/>
    </row>
    <row r="307" spans="1:2" ht="15" customHeight="1" x14ac:dyDescent="0.45">
      <c r="A307"/>
      <c r="B307"/>
    </row>
    <row r="308" spans="1:2" ht="15" customHeight="1" x14ac:dyDescent="0.45">
      <c r="A308"/>
      <c r="B308"/>
    </row>
    <row r="309" spans="1:2" ht="15" customHeight="1" x14ac:dyDescent="0.45">
      <c r="A309"/>
      <c r="B309"/>
    </row>
    <row r="310" spans="1:2" ht="15" customHeight="1" x14ac:dyDescent="0.45">
      <c r="A310"/>
      <c r="B310"/>
    </row>
    <row r="311" spans="1:2" ht="15" customHeight="1" x14ac:dyDescent="0.45">
      <c r="A311"/>
      <c r="B311"/>
    </row>
    <row r="312" spans="1:2" ht="15" customHeight="1" x14ac:dyDescent="0.45">
      <c r="A312"/>
      <c r="B312"/>
    </row>
    <row r="313" spans="1:2" ht="15" customHeight="1" x14ac:dyDescent="0.45">
      <c r="A313"/>
      <c r="B313"/>
    </row>
    <row r="314" spans="1:2" ht="15" customHeight="1" x14ac:dyDescent="0.45">
      <c r="A314"/>
      <c r="B314"/>
    </row>
    <row r="315" spans="1:2" ht="15" customHeight="1" x14ac:dyDescent="0.45">
      <c r="A315"/>
      <c r="B315"/>
    </row>
    <row r="316" spans="1:2" ht="15" customHeight="1" x14ac:dyDescent="0.45">
      <c r="A316"/>
      <c r="B316"/>
    </row>
    <row r="317" spans="1:2" ht="15" customHeight="1" x14ac:dyDescent="0.45">
      <c r="A317"/>
      <c r="B317"/>
    </row>
    <row r="318" spans="1:2" ht="15" customHeight="1" x14ac:dyDescent="0.45">
      <c r="A318"/>
      <c r="B318"/>
    </row>
    <row r="319" spans="1:2" ht="15" customHeight="1" x14ac:dyDescent="0.45">
      <c r="A319"/>
      <c r="B319"/>
    </row>
    <row r="320" spans="1:2" ht="15" customHeight="1" x14ac:dyDescent="0.45">
      <c r="A320"/>
      <c r="B320"/>
    </row>
    <row r="321" spans="1:2" ht="15" customHeight="1" x14ac:dyDescent="0.45">
      <c r="A321"/>
      <c r="B321"/>
    </row>
    <row r="322" spans="1:2" ht="15" customHeight="1" x14ac:dyDescent="0.45">
      <c r="A322"/>
      <c r="B322"/>
    </row>
    <row r="323" spans="1:2" ht="15" customHeight="1" x14ac:dyDescent="0.45">
      <c r="A323"/>
      <c r="B323"/>
    </row>
    <row r="324" spans="1:2" ht="15" customHeight="1" x14ac:dyDescent="0.45">
      <c r="A324"/>
      <c r="B324"/>
    </row>
    <row r="325" spans="1:2" ht="15" customHeight="1" x14ac:dyDescent="0.45">
      <c r="A325"/>
      <c r="B325"/>
    </row>
    <row r="326" spans="1:2" ht="15" customHeight="1" x14ac:dyDescent="0.45">
      <c r="A326"/>
      <c r="B326"/>
    </row>
    <row r="327" spans="1:2" ht="15" customHeight="1" x14ac:dyDescent="0.45">
      <c r="A327"/>
      <c r="B327"/>
    </row>
    <row r="328" spans="1:2" ht="15" customHeight="1" x14ac:dyDescent="0.45">
      <c r="A328"/>
      <c r="B328"/>
    </row>
    <row r="329" spans="1:2" ht="15" customHeight="1" x14ac:dyDescent="0.45">
      <c r="A329"/>
      <c r="B329"/>
    </row>
    <row r="330" spans="1:2" ht="15" customHeight="1" x14ac:dyDescent="0.45">
      <c r="A330"/>
      <c r="B330"/>
    </row>
    <row r="331" spans="1:2" ht="15" customHeight="1" x14ac:dyDescent="0.45">
      <c r="A331"/>
      <c r="B331"/>
    </row>
    <row r="332" spans="1:2" ht="15" customHeight="1" x14ac:dyDescent="0.45">
      <c r="A332"/>
      <c r="B332"/>
    </row>
    <row r="333" spans="1:2" ht="15" customHeight="1" x14ac:dyDescent="0.45">
      <c r="A333"/>
      <c r="B333"/>
    </row>
    <row r="334" spans="1:2" ht="15" customHeight="1" x14ac:dyDescent="0.45">
      <c r="A334"/>
      <c r="B334"/>
    </row>
    <row r="335" spans="1:2" ht="15" customHeight="1" x14ac:dyDescent="0.45">
      <c r="A335"/>
      <c r="B335"/>
    </row>
    <row r="336" spans="1:2" ht="15" customHeight="1" x14ac:dyDescent="0.45">
      <c r="A336"/>
      <c r="B336"/>
    </row>
    <row r="337" spans="1:2" ht="15" customHeight="1" x14ac:dyDescent="0.45">
      <c r="A337"/>
      <c r="B337"/>
    </row>
    <row r="338" spans="1:2" ht="15" customHeight="1" x14ac:dyDescent="0.45">
      <c r="A338"/>
      <c r="B338"/>
    </row>
    <row r="339" spans="1:2" ht="15" customHeight="1" x14ac:dyDescent="0.45">
      <c r="A339"/>
      <c r="B339"/>
    </row>
    <row r="340" spans="1:2" ht="15" customHeight="1" x14ac:dyDescent="0.45">
      <c r="A340"/>
      <c r="B340"/>
    </row>
    <row r="341" spans="1:2" ht="15" customHeight="1" x14ac:dyDescent="0.45">
      <c r="A341"/>
      <c r="B341"/>
    </row>
    <row r="342" spans="1:2" ht="15" customHeight="1" x14ac:dyDescent="0.45">
      <c r="A342"/>
      <c r="B342"/>
    </row>
    <row r="343" spans="1:2" ht="15" customHeight="1" x14ac:dyDescent="0.45">
      <c r="A343"/>
      <c r="B343"/>
    </row>
    <row r="344" spans="1:2" ht="15" customHeight="1" x14ac:dyDescent="0.45">
      <c r="A344"/>
      <c r="B344"/>
    </row>
    <row r="345" spans="1:2" ht="15" customHeight="1" x14ac:dyDescent="0.45">
      <c r="A345"/>
      <c r="B345"/>
    </row>
    <row r="346" spans="1:2" ht="15" customHeight="1" x14ac:dyDescent="0.45">
      <c r="A346"/>
      <c r="B346"/>
    </row>
    <row r="347" spans="1:2" ht="15" customHeight="1" x14ac:dyDescent="0.45">
      <c r="A347"/>
      <c r="B347"/>
    </row>
    <row r="348" spans="1:2" ht="15" customHeight="1" x14ac:dyDescent="0.45">
      <c r="A348"/>
      <c r="B348"/>
    </row>
    <row r="349" spans="1:2" ht="15" customHeight="1" x14ac:dyDescent="0.45">
      <c r="A349"/>
      <c r="B349"/>
    </row>
    <row r="350" spans="1:2" ht="15" customHeight="1" x14ac:dyDescent="0.45">
      <c r="A350"/>
      <c r="B350"/>
    </row>
    <row r="351" spans="1:2" ht="15" customHeight="1" x14ac:dyDescent="0.45">
      <c r="A351"/>
      <c r="B351"/>
    </row>
    <row r="352" spans="1:2" ht="15" customHeight="1" x14ac:dyDescent="0.45">
      <c r="A352"/>
      <c r="B352"/>
    </row>
    <row r="353" spans="1:2" ht="15" customHeight="1" x14ac:dyDescent="0.45">
      <c r="A353"/>
      <c r="B353"/>
    </row>
    <row r="354" spans="1:2" ht="15" customHeight="1" x14ac:dyDescent="0.45">
      <c r="A354"/>
      <c r="B354"/>
    </row>
    <row r="355" spans="1:2" ht="15" customHeight="1" x14ac:dyDescent="0.45">
      <c r="A355"/>
      <c r="B355"/>
    </row>
    <row r="356" spans="1:2" ht="15" customHeight="1" x14ac:dyDescent="0.45">
      <c r="A356"/>
      <c r="B356"/>
    </row>
    <row r="357" spans="1:2" ht="15" customHeight="1" x14ac:dyDescent="0.45">
      <c r="A357"/>
      <c r="B357"/>
    </row>
    <row r="358" spans="1:2" ht="15" customHeight="1" x14ac:dyDescent="0.45">
      <c r="A358"/>
      <c r="B358"/>
    </row>
    <row r="359" spans="1:2" ht="15" customHeight="1" x14ac:dyDescent="0.45">
      <c r="A359"/>
      <c r="B359"/>
    </row>
    <row r="360" spans="1:2" ht="15" customHeight="1" x14ac:dyDescent="0.45">
      <c r="A360"/>
      <c r="B360"/>
    </row>
    <row r="361" spans="1:2" ht="15" customHeight="1" x14ac:dyDescent="0.45">
      <c r="A361"/>
      <c r="B361"/>
    </row>
    <row r="362" spans="1:2" ht="15" customHeight="1" x14ac:dyDescent="0.45">
      <c r="A362"/>
      <c r="B362"/>
    </row>
    <row r="363" spans="1:2" ht="15" customHeight="1" x14ac:dyDescent="0.45">
      <c r="A363"/>
      <c r="B363"/>
    </row>
    <row r="364" spans="1:2" ht="15" customHeight="1" x14ac:dyDescent="0.45">
      <c r="A364"/>
      <c r="B364"/>
    </row>
    <row r="365" spans="1:2" ht="15" customHeight="1" x14ac:dyDescent="0.45">
      <c r="A365"/>
      <c r="B365"/>
    </row>
    <row r="366" spans="1:2" ht="15" customHeight="1" x14ac:dyDescent="0.45">
      <c r="A366"/>
      <c r="B366"/>
    </row>
    <row r="367" spans="1:2" ht="15" customHeight="1" x14ac:dyDescent="0.45">
      <c r="A367"/>
      <c r="B367"/>
    </row>
    <row r="368" spans="1:2" ht="15" customHeight="1" x14ac:dyDescent="0.45">
      <c r="A368"/>
      <c r="B368"/>
    </row>
    <row r="369" spans="1:2" ht="15" customHeight="1" x14ac:dyDescent="0.45">
      <c r="A369"/>
      <c r="B369"/>
    </row>
    <row r="370" spans="1:2" ht="15" customHeight="1" x14ac:dyDescent="0.45">
      <c r="A370"/>
      <c r="B370"/>
    </row>
    <row r="371" spans="1:2" ht="15" customHeight="1" x14ac:dyDescent="0.45">
      <c r="A371"/>
      <c r="B371"/>
    </row>
    <row r="372" spans="1:2" ht="15" customHeight="1" x14ac:dyDescent="0.45">
      <c r="A372"/>
      <c r="B372"/>
    </row>
    <row r="373" spans="1:2" ht="15" customHeight="1" x14ac:dyDescent="0.45">
      <c r="A373"/>
      <c r="B373"/>
    </row>
    <row r="374" spans="1:2" ht="15" customHeight="1" x14ac:dyDescent="0.45">
      <c r="A374"/>
      <c r="B374"/>
    </row>
    <row r="375" spans="1:2" ht="15" customHeight="1" x14ac:dyDescent="0.45">
      <c r="A375"/>
      <c r="B375"/>
    </row>
    <row r="376" spans="1:2" ht="15" customHeight="1" x14ac:dyDescent="0.45">
      <c r="A376"/>
      <c r="B376"/>
    </row>
    <row r="377" spans="1:2" ht="15" customHeight="1" x14ac:dyDescent="0.45">
      <c r="A377"/>
      <c r="B377"/>
    </row>
    <row r="378" spans="1:2" ht="15" customHeight="1" x14ac:dyDescent="0.45">
      <c r="A378"/>
      <c r="B378"/>
    </row>
    <row r="379" spans="1:2" ht="15" customHeight="1" x14ac:dyDescent="0.45">
      <c r="A379"/>
      <c r="B379"/>
    </row>
    <row r="380" spans="1:2" ht="15" customHeight="1" x14ac:dyDescent="0.45">
      <c r="A380"/>
      <c r="B380"/>
    </row>
    <row r="381" spans="1:2" ht="15" customHeight="1" x14ac:dyDescent="0.45">
      <c r="A381"/>
      <c r="B381"/>
    </row>
    <row r="382" spans="1:2" ht="15" customHeight="1" x14ac:dyDescent="0.45">
      <c r="A382"/>
      <c r="B382"/>
    </row>
    <row r="383" spans="1:2" ht="15" customHeight="1" x14ac:dyDescent="0.45">
      <c r="A383"/>
      <c r="B383"/>
    </row>
    <row r="384" spans="1:2" ht="15" customHeight="1" x14ac:dyDescent="0.45">
      <c r="A384"/>
      <c r="B384"/>
    </row>
    <row r="385" spans="1:2" ht="15" customHeight="1" x14ac:dyDescent="0.45">
      <c r="A385"/>
      <c r="B385"/>
    </row>
    <row r="386" spans="1:2" ht="15" customHeight="1" x14ac:dyDescent="0.45">
      <c r="A386"/>
      <c r="B386"/>
    </row>
    <row r="387" spans="1:2" ht="15" customHeight="1" x14ac:dyDescent="0.45">
      <c r="A387"/>
      <c r="B387"/>
    </row>
    <row r="388" spans="1:2" ht="15" customHeight="1" x14ac:dyDescent="0.45">
      <c r="A388"/>
      <c r="B388"/>
    </row>
    <row r="389" spans="1:2" ht="15" customHeight="1" x14ac:dyDescent="0.45">
      <c r="A389"/>
      <c r="B389"/>
    </row>
    <row r="390" spans="1:2" ht="15" customHeight="1" x14ac:dyDescent="0.45">
      <c r="A390"/>
      <c r="B390"/>
    </row>
    <row r="391" spans="1:2" ht="15" customHeight="1" x14ac:dyDescent="0.45">
      <c r="A391"/>
      <c r="B391"/>
    </row>
    <row r="392" spans="1:2" ht="15" customHeight="1" x14ac:dyDescent="0.45">
      <c r="A392"/>
      <c r="B392"/>
    </row>
    <row r="393" spans="1:2" ht="15" customHeight="1" x14ac:dyDescent="0.45">
      <c r="A393"/>
      <c r="B393"/>
    </row>
    <row r="394" spans="1:2" ht="15" customHeight="1" x14ac:dyDescent="0.45">
      <c r="A394"/>
      <c r="B394"/>
    </row>
    <row r="395" spans="1:2" ht="15" customHeight="1" x14ac:dyDescent="0.45">
      <c r="A395"/>
      <c r="B395"/>
    </row>
    <row r="396" spans="1:2" ht="15" customHeight="1" x14ac:dyDescent="0.45">
      <c r="A396"/>
      <c r="B396"/>
    </row>
    <row r="397" spans="1:2" ht="15" customHeight="1" x14ac:dyDescent="0.45">
      <c r="A397"/>
      <c r="B397"/>
    </row>
    <row r="398" spans="1:2" ht="15" customHeight="1" x14ac:dyDescent="0.45">
      <c r="A398"/>
      <c r="B398"/>
    </row>
    <row r="399" spans="1:2" ht="15" customHeight="1" x14ac:dyDescent="0.45">
      <c r="A399"/>
      <c r="B399"/>
    </row>
    <row r="400" spans="1:2" ht="15" customHeight="1" x14ac:dyDescent="0.45">
      <c r="A400"/>
      <c r="B400"/>
    </row>
    <row r="401" spans="1:2" ht="15" customHeight="1" x14ac:dyDescent="0.45">
      <c r="A401"/>
      <c r="B401"/>
    </row>
    <row r="402" spans="1:2" ht="15" customHeight="1" x14ac:dyDescent="0.45">
      <c r="A402"/>
      <c r="B402"/>
    </row>
    <row r="403" spans="1:2" ht="15" customHeight="1" x14ac:dyDescent="0.45">
      <c r="A403"/>
      <c r="B403"/>
    </row>
    <row r="404" spans="1:2" ht="15" customHeight="1" x14ac:dyDescent="0.45">
      <c r="A404"/>
      <c r="B404"/>
    </row>
    <row r="405" spans="1:2" ht="15" customHeight="1" x14ac:dyDescent="0.45">
      <c r="A405"/>
      <c r="B405"/>
    </row>
    <row r="406" spans="1:2" ht="15" customHeight="1" x14ac:dyDescent="0.45">
      <c r="A406"/>
      <c r="B406"/>
    </row>
    <row r="407" spans="1:2" ht="15" customHeight="1" x14ac:dyDescent="0.45">
      <c r="A407"/>
      <c r="B407"/>
    </row>
    <row r="408" spans="1:2" ht="15" customHeight="1" x14ac:dyDescent="0.45">
      <c r="A408"/>
      <c r="B408"/>
    </row>
    <row r="409" spans="1:2" ht="15" customHeight="1" x14ac:dyDescent="0.45">
      <c r="A409"/>
      <c r="B409"/>
    </row>
    <row r="410" spans="1:2" ht="15" customHeight="1" x14ac:dyDescent="0.45">
      <c r="A410"/>
      <c r="B410"/>
    </row>
    <row r="411" spans="1:2" ht="15" customHeight="1" x14ac:dyDescent="0.45">
      <c r="A411"/>
      <c r="B411"/>
    </row>
    <row r="412" spans="1:2" ht="15" customHeight="1" x14ac:dyDescent="0.45">
      <c r="A412"/>
      <c r="B412"/>
    </row>
    <row r="413" spans="1:2" ht="15" customHeight="1" x14ac:dyDescent="0.45">
      <c r="A413"/>
      <c r="B413"/>
    </row>
    <row r="414" spans="1:2" ht="15" customHeight="1" x14ac:dyDescent="0.45">
      <c r="A414"/>
      <c r="B414"/>
    </row>
    <row r="415" spans="1:2" ht="15" customHeight="1" x14ac:dyDescent="0.45">
      <c r="A415"/>
      <c r="B415"/>
    </row>
    <row r="416" spans="1:2" ht="15" customHeight="1" x14ac:dyDescent="0.45">
      <c r="A416"/>
      <c r="B416"/>
    </row>
    <row r="417" spans="1:2" ht="15" customHeight="1" x14ac:dyDescent="0.45">
      <c r="A417"/>
      <c r="B417"/>
    </row>
    <row r="418" spans="1:2" ht="15" customHeight="1" x14ac:dyDescent="0.45">
      <c r="A418"/>
      <c r="B418"/>
    </row>
    <row r="419" spans="1:2" ht="15" customHeight="1" x14ac:dyDescent="0.45">
      <c r="A419"/>
      <c r="B419"/>
    </row>
    <row r="420" spans="1:2" ht="15" customHeight="1" x14ac:dyDescent="0.45">
      <c r="A420"/>
      <c r="B420"/>
    </row>
    <row r="421" spans="1:2" ht="15" customHeight="1" x14ac:dyDescent="0.45">
      <c r="A421"/>
      <c r="B421"/>
    </row>
    <row r="422" spans="1:2" ht="15" customHeight="1" x14ac:dyDescent="0.45">
      <c r="A422"/>
      <c r="B422"/>
    </row>
    <row r="423" spans="1:2" ht="15" customHeight="1" x14ac:dyDescent="0.45">
      <c r="A423"/>
      <c r="B423"/>
    </row>
    <row r="424" spans="1:2" ht="15" customHeight="1" x14ac:dyDescent="0.45">
      <c r="A424"/>
      <c r="B424"/>
    </row>
    <row r="425" spans="1:2" ht="15" customHeight="1" x14ac:dyDescent="0.45">
      <c r="A425"/>
      <c r="B425"/>
    </row>
    <row r="426" spans="1:2" ht="15" customHeight="1" x14ac:dyDescent="0.45">
      <c r="A426"/>
      <c r="B426"/>
    </row>
    <row r="427" spans="1:2" ht="15" customHeight="1" x14ac:dyDescent="0.45">
      <c r="A427"/>
      <c r="B427"/>
    </row>
    <row r="428" spans="1:2" ht="15" customHeight="1" x14ac:dyDescent="0.45">
      <c r="A428"/>
      <c r="B428"/>
    </row>
    <row r="429" spans="1:2" ht="15" customHeight="1" x14ac:dyDescent="0.45">
      <c r="A429"/>
      <c r="B429"/>
    </row>
    <row r="430" spans="1:2" ht="15" customHeight="1" x14ac:dyDescent="0.45">
      <c r="A430"/>
      <c r="B430"/>
    </row>
    <row r="431" spans="1:2" ht="15" customHeight="1" x14ac:dyDescent="0.45">
      <c r="A431"/>
      <c r="B431"/>
    </row>
    <row r="432" spans="1:2" ht="15" customHeight="1" x14ac:dyDescent="0.45">
      <c r="A432"/>
      <c r="B432"/>
    </row>
    <row r="433" spans="1:2" ht="15" customHeight="1" x14ac:dyDescent="0.45">
      <c r="A433"/>
      <c r="B433"/>
    </row>
    <row r="434" spans="1:2" ht="15" customHeight="1" x14ac:dyDescent="0.45">
      <c r="A434"/>
      <c r="B434"/>
    </row>
    <row r="435" spans="1:2" ht="15" customHeight="1" x14ac:dyDescent="0.45">
      <c r="A435"/>
      <c r="B435"/>
    </row>
    <row r="436" spans="1:2" ht="15" customHeight="1" x14ac:dyDescent="0.45">
      <c r="A436"/>
      <c r="B436"/>
    </row>
    <row r="437" spans="1:2" ht="15" customHeight="1" x14ac:dyDescent="0.45">
      <c r="A437"/>
      <c r="B437"/>
    </row>
    <row r="438" spans="1:2" ht="15" customHeight="1" x14ac:dyDescent="0.45">
      <c r="A438"/>
      <c r="B438"/>
    </row>
    <row r="439" spans="1:2" ht="15" customHeight="1" x14ac:dyDescent="0.45">
      <c r="A439"/>
      <c r="B439"/>
    </row>
    <row r="440" spans="1:2" ht="15" customHeight="1" x14ac:dyDescent="0.45">
      <c r="A440"/>
      <c r="B440"/>
    </row>
  </sheetData>
  <sortState xmlns:xlrd2="http://schemas.microsoft.com/office/spreadsheetml/2017/richdata2" ref="K249:K266">
    <sortCondition ref="K249:K266"/>
  </sortState>
  <conditionalFormatting sqref="C94">
    <cfRule type="cellIs" dxfId="2" priority="5" operator="greaterThan">
      <formula>0</formula>
    </cfRule>
  </conditionalFormatting>
  <conditionalFormatting sqref="I107:M108">
    <cfRule type="cellIs" dxfId="1" priority="1" operator="greaterThan">
      <formula>$D$90</formula>
    </cfRule>
  </conditionalFormatting>
  <conditionalFormatting sqref="I115:M116">
    <cfRule type="cellIs" dxfId="0" priority="4" operator="greaterThan">
      <formula>0</formula>
    </cfRule>
  </conditionalFormatting>
  <pageMargins left="0.7" right="0.7" top="0.75" bottom="0.75" header="0.3" footer="0.3"/>
  <pageSetup paperSize="9" scale="27" orientation="landscape" verticalDpi="1200" r:id="rId1"/>
  <headerFooter>
    <oddHeader xml:space="preserve">&amp;R&amp;10&amp;F 
&amp;A
</oddHeader>
    <oddFooter>&amp;L&amp;10© 2016&amp;C&amp;10Page &amp;P of &amp;N&amp;R&amp;G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A1B5D-2EE1-4573-89E8-ECD3BC424C9A}">
  <dimension ref="A1:AF416"/>
  <sheetViews>
    <sheetView zoomScale="130" zoomScaleNormal="13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ColWidth="13.86328125" defaultRowHeight="15" customHeight="1" x14ac:dyDescent="0.45"/>
  <cols>
    <col min="1" max="1" width="1.53125" style="15" customWidth="1"/>
    <col min="2" max="2" width="27.19921875" style="16" customWidth="1"/>
    <col min="3" max="3" width="10.1328125" style="85" customWidth="1"/>
    <col min="4" max="4" width="10.1328125" style="16" customWidth="1"/>
    <col min="5" max="5" width="4.796875" customWidth="1"/>
  </cols>
  <sheetData>
    <row r="1" spans="1:27" s="46" customFormat="1" ht="45" customHeight="1" x14ac:dyDescent="0.85">
      <c r="A1" s="5" t="str">
        <f>Info!A1</f>
        <v>Renewable Energy Modeling</v>
      </c>
      <c r="B1" s="10"/>
      <c r="C1" s="84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35" customFormat="1" ht="30" customHeight="1" x14ac:dyDescent="0.65">
      <c r="A2" s="14" t="str">
        <f ca="1">RIGHT(CELL("filename",A1),LEN(CELL("filename",A1))-SEARCH("]",CELL("filename", A1)))</f>
        <v>Operations</v>
      </c>
      <c r="B2" s="7"/>
      <c r="C2" s="11" t="s">
        <v>11</v>
      </c>
      <c r="D2" s="11" t="s">
        <v>11</v>
      </c>
      <c r="E2" s="11"/>
      <c r="F2" s="11">
        <f>'Assumptions and Outputs'!D11</f>
        <v>55153</v>
      </c>
      <c r="G2" s="11">
        <f>EDATE(F2,12)</f>
        <v>55518</v>
      </c>
      <c r="H2" s="11">
        <f t="shared" ref="H2:M2" si="0">EDATE(G2,12)</f>
        <v>55884</v>
      </c>
      <c r="I2" s="11">
        <f t="shared" si="0"/>
        <v>56249</v>
      </c>
      <c r="J2" s="11">
        <f t="shared" si="0"/>
        <v>56614</v>
      </c>
      <c r="K2" s="11">
        <f t="shared" si="0"/>
        <v>56979</v>
      </c>
      <c r="L2" s="11">
        <f t="shared" si="0"/>
        <v>57345</v>
      </c>
      <c r="M2" s="11">
        <f t="shared" si="0"/>
        <v>57710</v>
      </c>
      <c r="N2" s="11">
        <f t="shared" ref="N2:Z2" si="1">EDATE(M2,12)</f>
        <v>58075</v>
      </c>
      <c r="O2" s="11">
        <f t="shared" si="1"/>
        <v>58440</v>
      </c>
      <c r="P2" s="11">
        <f t="shared" si="1"/>
        <v>58806</v>
      </c>
      <c r="Q2" s="11">
        <f t="shared" si="1"/>
        <v>59171</v>
      </c>
      <c r="R2" s="11">
        <f t="shared" si="1"/>
        <v>59536</v>
      </c>
      <c r="S2" s="11">
        <f t="shared" si="1"/>
        <v>59901</v>
      </c>
      <c r="T2" s="11">
        <f t="shared" si="1"/>
        <v>60267</v>
      </c>
      <c r="U2" s="11">
        <f t="shared" si="1"/>
        <v>60632</v>
      </c>
      <c r="V2" s="11">
        <f t="shared" si="1"/>
        <v>60997</v>
      </c>
      <c r="W2" s="11">
        <f t="shared" si="1"/>
        <v>61362</v>
      </c>
      <c r="X2" s="11">
        <f t="shared" si="1"/>
        <v>61728</v>
      </c>
      <c r="Y2" s="11">
        <f t="shared" si="1"/>
        <v>62093</v>
      </c>
      <c r="Z2" s="11">
        <f t="shared" si="1"/>
        <v>62458</v>
      </c>
      <c r="AA2" s="11">
        <f t="shared" ref="AA2" si="2">EDATE(Z2,12)</f>
        <v>62823</v>
      </c>
    </row>
    <row r="3" spans="1:27" ht="15" customHeight="1" x14ac:dyDescent="0.45">
      <c r="A3" s="82"/>
      <c r="B3" s="77" t="str">
        <f>"all in "&amp;Local_currency&amp;" 000s unless stated"</f>
        <v>all in GBP 000s unless stated</v>
      </c>
      <c r="C3" s="77"/>
      <c r="D3" s="77"/>
      <c r="L3" t="str">
        <f t="shared" ref="L3:L5" ca="1" si="3">IF(ISBLANK(K3),"",_xlfn.FORMULATEXT(K3))</f>
        <v/>
      </c>
    </row>
    <row r="4" spans="1:27" ht="15" customHeight="1" x14ac:dyDescent="0.45">
      <c r="A4" s="82"/>
      <c r="B4"/>
      <c r="C4" s="77"/>
      <c r="D4"/>
      <c r="L4" t="str">
        <f t="shared" ca="1" si="3"/>
        <v/>
      </c>
    </row>
    <row r="5" spans="1:27" ht="15" customHeight="1" x14ac:dyDescent="0.45">
      <c r="A5" s="82" t="s">
        <v>65</v>
      </c>
      <c r="B5"/>
      <c r="C5" s="77"/>
      <c r="D5"/>
      <c r="L5" t="str">
        <f t="shared" ca="1" si="3"/>
        <v/>
      </c>
    </row>
    <row r="6" spans="1:27" ht="15" customHeight="1" x14ac:dyDescent="0.45">
      <c r="A6" s="82"/>
      <c r="B6" t="s">
        <v>218</v>
      </c>
      <c r="C6" t="s">
        <v>303</v>
      </c>
      <c r="D6" s="89">
        <f>'Assumptions and Outputs'!D12</f>
        <v>55884</v>
      </c>
      <c r="F6">
        <f>IF(F2&gt;=$D$6,1,0)</f>
        <v>0</v>
      </c>
      <c r="G6">
        <f t="shared" ref="G6:K6" si="4">IF(G2&gt;=$D$6,1,0)</f>
        <v>0</v>
      </c>
      <c r="H6">
        <f t="shared" si="4"/>
        <v>1</v>
      </c>
      <c r="I6">
        <f t="shared" si="4"/>
        <v>1</v>
      </c>
      <c r="J6">
        <f t="shared" si="4"/>
        <v>1</v>
      </c>
      <c r="K6">
        <f t="shared" si="4"/>
        <v>1</v>
      </c>
      <c r="L6">
        <f t="shared" ref="L6:AA6" si="5">IF(L2&gt;=$D$6,1,0)</f>
        <v>1</v>
      </c>
      <c r="M6">
        <f t="shared" si="5"/>
        <v>1</v>
      </c>
      <c r="N6">
        <f t="shared" si="5"/>
        <v>1</v>
      </c>
      <c r="O6">
        <f t="shared" si="5"/>
        <v>1</v>
      </c>
      <c r="P6">
        <f t="shared" si="5"/>
        <v>1</v>
      </c>
      <c r="Q6">
        <f t="shared" si="5"/>
        <v>1</v>
      </c>
      <c r="R6">
        <f t="shared" si="5"/>
        <v>1</v>
      </c>
      <c r="S6">
        <f t="shared" si="5"/>
        <v>1</v>
      </c>
      <c r="T6">
        <f t="shared" si="5"/>
        <v>1</v>
      </c>
      <c r="U6">
        <f t="shared" si="5"/>
        <v>1</v>
      </c>
      <c r="V6">
        <f t="shared" si="5"/>
        <v>1</v>
      </c>
      <c r="W6">
        <f t="shared" si="5"/>
        <v>1</v>
      </c>
      <c r="X6">
        <f t="shared" si="5"/>
        <v>1</v>
      </c>
      <c r="Y6">
        <f t="shared" si="5"/>
        <v>1</v>
      </c>
      <c r="Z6">
        <f t="shared" si="5"/>
        <v>1</v>
      </c>
      <c r="AA6">
        <f t="shared" si="5"/>
        <v>1</v>
      </c>
    </row>
    <row r="7" spans="1:27" ht="15" customHeight="1" x14ac:dyDescent="0.45">
      <c r="A7" s="82"/>
      <c r="B7" t="s">
        <v>219</v>
      </c>
      <c r="C7"/>
      <c r="D7"/>
      <c r="F7">
        <f>IF(SUM($F$6:F6)=1,1,0)</f>
        <v>0</v>
      </c>
      <c r="G7">
        <f>IF(SUM($F$6:G6)=1,1,0)</f>
        <v>0</v>
      </c>
      <c r="H7">
        <f>IF(SUM($F$6:H6)=1,1,0)</f>
        <v>1</v>
      </c>
      <c r="I7">
        <f>IF(SUM($F$6:I6)=1,1,0)</f>
        <v>0</v>
      </c>
      <c r="J7">
        <f>IF(SUM($F$6:J6)=1,1,0)</f>
        <v>0</v>
      </c>
      <c r="K7">
        <f>IF(SUM($F$6:K6)=1,1,0)</f>
        <v>0</v>
      </c>
      <c r="L7">
        <f>IF(SUM($F$6:L6)=1,1,0)</f>
        <v>0</v>
      </c>
      <c r="M7">
        <f>IF(SUM($F$6:M6)=1,1,0)</f>
        <v>0</v>
      </c>
      <c r="N7">
        <f>IF(SUM($F$6:N6)=1,1,0)</f>
        <v>0</v>
      </c>
      <c r="O7">
        <f>IF(SUM($F$6:O6)=1,1,0)</f>
        <v>0</v>
      </c>
      <c r="P7">
        <f>IF(SUM($F$6:P6)=1,1,0)</f>
        <v>0</v>
      </c>
      <c r="Q7">
        <f>IF(SUM($F$6:Q6)=1,1,0)</f>
        <v>0</v>
      </c>
      <c r="R7">
        <f>IF(SUM($F$6:R6)=1,1,0)</f>
        <v>0</v>
      </c>
      <c r="S7">
        <f>IF(SUM($F$6:S6)=1,1,0)</f>
        <v>0</v>
      </c>
      <c r="T7">
        <f>IF(SUM($F$6:T6)=1,1,0)</f>
        <v>0</v>
      </c>
      <c r="U7">
        <f>IF(SUM($F$6:U6)=1,1,0)</f>
        <v>0</v>
      </c>
      <c r="V7">
        <f>IF(SUM($F$6:V6)=1,1,0)</f>
        <v>0</v>
      </c>
      <c r="W7">
        <f>IF(SUM($F$6:W6)=1,1,0)</f>
        <v>0</v>
      </c>
      <c r="X7">
        <f>IF(SUM($F$6:X6)=1,1,0)</f>
        <v>0</v>
      </c>
      <c r="Y7">
        <f>IF(SUM($F$6:Y6)=1,1,0)</f>
        <v>0</v>
      </c>
      <c r="Z7">
        <f>IF(SUM($F$6:Z6)=1,1,0)</f>
        <v>0</v>
      </c>
      <c r="AA7">
        <f>IF(SUM($F$6:AA6)=1,1,0)</f>
        <v>0</v>
      </c>
    </row>
    <row r="8" spans="1:27" ht="15" customHeight="1" x14ac:dyDescent="0.45">
      <c r="A8" s="82"/>
      <c r="B8"/>
      <c r="C8"/>
      <c r="D8"/>
    </row>
    <row r="9" spans="1:27" ht="15" customHeight="1" x14ac:dyDescent="0.45">
      <c r="A9" s="82" t="s">
        <v>66</v>
      </c>
      <c r="B9"/>
      <c r="C9"/>
      <c r="D9"/>
    </row>
    <row r="10" spans="1:27" ht="15" customHeight="1" x14ac:dyDescent="0.45">
      <c r="A10" s="82"/>
      <c r="B10" t="s">
        <v>67</v>
      </c>
      <c r="C10" t="s">
        <v>44</v>
      </c>
      <c r="D10" s="67">
        <f>'Assumptions and Outputs'!D8</f>
        <v>0.04</v>
      </c>
      <c r="E10" s="83">
        <v>1</v>
      </c>
      <c r="F10" s="86">
        <f>(1+$D$10)*E10</f>
        <v>1.04</v>
      </c>
      <c r="G10" s="86">
        <f t="shared" ref="G10:K10" si="6">(1+$D$10)*F10</f>
        <v>1.0816000000000001</v>
      </c>
      <c r="H10" s="86">
        <f t="shared" si="6"/>
        <v>1.1248640000000001</v>
      </c>
      <c r="I10" s="86">
        <f t="shared" si="6"/>
        <v>1.1698585600000002</v>
      </c>
      <c r="J10" s="86">
        <f t="shared" si="6"/>
        <v>1.2166529024000003</v>
      </c>
      <c r="K10" s="86">
        <f t="shared" si="6"/>
        <v>1.2653190184960004</v>
      </c>
      <c r="L10" s="86">
        <f t="shared" ref="L10" si="7">(1+$D$10)*K10</f>
        <v>1.3159317792358405</v>
      </c>
      <c r="M10" s="86">
        <f t="shared" ref="M10" si="8">(1+$D$10)*L10</f>
        <v>1.3685690504052741</v>
      </c>
      <c r="N10" s="86">
        <f t="shared" ref="N10" si="9">(1+$D$10)*M10</f>
        <v>1.4233118124214852</v>
      </c>
      <c r="O10" s="86">
        <f t="shared" ref="O10" si="10">(1+$D$10)*N10</f>
        <v>1.4802442849183446</v>
      </c>
      <c r="P10" s="86">
        <f t="shared" ref="P10" si="11">(1+$D$10)*O10</f>
        <v>1.5394540563150785</v>
      </c>
      <c r="Q10" s="86">
        <f t="shared" ref="Q10" si="12">(1+$D$10)*P10</f>
        <v>1.6010322185676817</v>
      </c>
      <c r="R10" s="86">
        <f t="shared" ref="R10" si="13">(1+$D$10)*Q10</f>
        <v>1.6650735073103891</v>
      </c>
      <c r="S10" s="86">
        <f t="shared" ref="S10" si="14">(1+$D$10)*R10</f>
        <v>1.7316764476028046</v>
      </c>
      <c r="T10" s="86">
        <f t="shared" ref="T10" si="15">(1+$D$10)*S10</f>
        <v>1.8009435055069167</v>
      </c>
      <c r="U10" s="86">
        <f t="shared" ref="U10" si="16">(1+$D$10)*T10</f>
        <v>1.8729812457271935</v>
      </c>
      <c r="V10" s="86">
        <f t="shared" ref="V10" si="17">(1+$D$10)*U10</f>
        <v>1.9479004955562813</v>
      </c>
      <c r="W10" s="86">
        <f t="shared" ref="W10" si="18">(1+$D$10)*V10</f>
        <v>2.0258165153785326</v>
      </c>
      <c r="X10" s="86">
        <f t="shared" ref="X10" si="19">(1+$D$10)*W10</f>
        <v>2.1068491759936738</v>
      </c>
      <c r="Y10" s="86">
        <f t="shared" ref="Y10" si="20">(1+$D$10)*X10</f>
        <v>2.1911231430334208</v>
      </c>
      <c r="Z10" s="86">
        <f t="shared" ref="Z10" si="21">(1+$D$10)*Y10</f>
        <v>2.2787680687547578</v>
      </c>
      <c r="AA10" s="86">
        <f t="shared" ref="AA10" si="22">(1+$D$10)*Z10</f>
        <v>2.369918791504948</v>
      </c>
    </row>
    <row r="11" spans="1:27" ht="15" customHeight="1" x14ac:dyDescent="0.45">
      <c r="A11" s="82"/>
      <c r="B11"/>
      <c r="C11"/>
      <c r="D11"/>
    </row>
    <row r="12" spans="1:27" ht="15" customHeight="1" x14ac:dyDescent="0.45">
      <c r="A12" s="82" t="s">
        <v>68</v>
      </c>
      <c r="B12"/>
      <c r="C12"/>
      <c r="D12"/>
      <c r="F12" s="100"/>
      <c r="G12" s="100"/>
      <c r="H12" s="100"/>
      <c r="I12" s="100"/>
      <c r="J12" s="100"/>
    </row>
    <row r="13" spans="1:27" ht="15" customHeight="1" x14ac:dyDescent="0.45">
      <c r="A13" s="82"/>
      <c r="B13" t="s">
        <v>220</v>
      </c>
      <c r="C13" t="s">
        <v>69</v>
      </c>
      <c r="D13" s="67">
        <f>'Assumptions and Outputs'!D17</f>
        <v>0.8</v>
      </c>
      <c r="F13" s="67">
        <f>F6*IF(F7=1,$D$13,1)</f>
        <v>0</v>
      </c>
      <c r="G13" s="67">
        <f t="shared" ref="G13:K13" si="23">G6*IF(G7=1,$D$13,1)</f>
        <v>0</v>
      </c>
      <c r="H13" s="67">
        <f t="shared" si="23"/>
        <v>0.8</v>
      </c>
      <c r="I13" s="67">
        <f t="shared" si="23"/>
        <v>1</v>
      </c>
      <c r="J13" s="67">
        <f t="shared" si="23"/>
        <v>1</v>
      </c>
      <c r="K13" s="67">
        <f t="shared" si="23"/>
        <v>1</v>
      </c>
      <c r="L13" s="67">
        <f t="shared" ref="L13:AA13" si="24">L6*IF(L7=1,$D$13,1)</f>
        <v>1</v>
      </c>
      <c r="M13" s="67">
        <f t="shared" si="24"/>
        <v>1</v>
      </c>
      <c r="N13" s="67">
        <f t="shared" si="24"/>
        <v>1</v>
      </c>
      <c r="O13" s="67">
        <f t="shared" si="24"/>
        <v>1</v>
      </c>
      <c r="P13" s="67">
        <f t="shared" si="24"/>
        <v>1</v>
      </c>
      <c r="Q13" s="67">
        <f t="shared" si="24"/>
        <v>1</v>
      </c>
      <c r="R13" s="67">
        <f t="shared" si="24"/>
        <v>1</v>
      </c>
      <c r="S13" s="67">
        <f t="shared" si="24"/>
        <v>1</v>
      </c>
      <c r="T13" s="67">
        <f t="shared" si="24"/>
        <v>1</v>
      </c>
      <c r="U13" s="67">
        <f t="shared" si="24"/>
        <v>1</v>
      </c>
      <c r="V13" s="67">
        <f t="shared" si="24"/>
        <v>1</v>
      </c>
      <c r="W13" s="67">
        <f t="shared" si="24"/>
        <v>1</v>
      </c>
      <c r="X13" s="67">
        <f t="shared" si="24"/>
        <v>1</v>
      </c>
      <c r="Y13" s="67">
        <f t="shared" si="24"/>
        <v>1</v>
      </c>
      <c r="Z13" s="67">
        <f t="shared" si="24"/>
        <v>1</v>
      </c>
      <c r="AA13" s="67">
        <f t="shared" si="24"/>
        <v>1</v>
      </c>
    </row>
    <row r="14" spans="1:27" ht="15" customHeight="1" x14ac:dyDescent="0.45">
      <c r="A14" s="82"/>
      <c r="B14" t="s">
        <v>221</v>
      </c>
      <c r="C14" t="s">
        <v>70</v>
      </c>
      <c r="D14">
        <f>'Assumptions and Outputs'!D16</f>
        <v>200</v>
      </c>
      <c r="F14">
        <f>$D$14*F13</f>
        <v>0</v>
      </c>
      <c r="G14">
        <f t="shared" ref="G14:K14" si="25">$D$14*G13</f>
        <v>0</v>
      </c>
      <c r="H14">
        <f t="shared" si="25"/>
        <v>160</v>
      </c>
      <c r="I14">
        <f t="shared" si="25"/>
        <v>200</v>
      </c>
      <c r="J14">
        <f t="shared" si="25"/>
        <v>200</v>
      </c>
      <c r="K14">
        <f t="shared" si="25"/>
        <v>200</v>
      </c>
      <c r="L14">
        <f t="shared" ref="L14:AA14" si="26">$D$14*L13</f>
        <v>200</v>
      </c>
      <c r="M14">
        <f t="shared" si="26"/>
        <v>200</v>
      </c>
      <c r="N14">
        <f t="shared" si="26"/>
        <v>200</v>
      </c>
      <c r="O14">
        <f t="shared" si="26"/>
        <v>200</v>
      </c>
      <c r="P14">
        <f t="shared" si="26"/>
        <v>200</v>
      </c>
      <c r="Q14">
        <f t="shared" si="26"/>
        <v>200</v>
      </c>
      <c r="R14">
        <f t="shared" si="26"/>
        <v>200</v>
      </c>
      <c r="S14">
        <f t="shared" si="26"/>
        <v>200</v>
      </c>
      <c r="T14">
        <f t="shared" si="26"/>
        <v>200</v>
      </c>
      <c r="U14">
        <f t="shared" si="26"/>
        <v>200</v>
      </c>
      <c r="V14">
        <f t="shared" si="26"/>
        <v>200</v>
      </c>
      <c r="W14">
        <f t="shared" si="26"/>
        <v>200</v>
      </c>
      <c r="X14">
        <f t="shared" si="26"/>
        <v>200</v>
      </c>
      <c r="Y14">
        <f t="shared" si="26"/>
        <v>200</v>
      </c>
      <c r="Z14">
        <f t="shared" si="26"/>
        <v>200</v>
      </c>
      <c r="AA14">
        <f t="shared" si="26"/>
        <v>200</v>
      </c>
    </row>
    <row r="15" spans="1:27" ht="15" customHeight="1" x14ac:dyDescent="0.45">
      <c r="A15" s="82"/>
      <c r="B15" t="s">
        <v>81</v>
      </c>
      <c r="C15" t="s">
        <v>79</v>
      </c>
      <c r="D15" s="67">
        <f>'Assumptions and Outputs'!D18</f>
        <v>0.4</v>
      </c>
      <c r="F15">
        <f>$D$15*F14</f>
        <v>0</v>
      </c>
      <c r="G15">
        <f t="shared" ref="G15:K15" si="27">$D$15*G14</f>
        <v>0</v>
      </c>
      <c r="H15">
        <f t="shared" si="27"/>
        <v>64</v>
      </c>
      <c r="I15">
        <f t="shared" si="27"/>
        <v>80</v>
      </c>
      <c r="J15">
        <f t="shared" si="27"/>
        <v>80</v>
      </c>
      <c r="K15">
        <f t="shared" si="27"/>
        <v>80</v>
      </c>
      <c r="L15">
        <f t="shared" ref="L15:AA15" si="28">$D$15*L14</f>
        <v>80</v>
      </c>
      <c r="M15">
        <f t="shared" si="28"/>
        <v>80</v>
      </c>
      <c r="N15">
        <f t="shared" si="28"/>
        <v>80</v>
      </c>
      <c r="O15">
        <f t="shared" si="28"/>
        <v>80</v>
      </c>
      <c r="P15">
        <f t="shared" si="28"/>
        <v>80</v>
      </c>
      <c r="Q15">
        <f t="shared" si="28"/>
        <v>80</v>
      </c>
      <c r="R15">
        <f t="shared" si="28"/>
        <v>80</v>
      </c>
      <c r="S15">
        <f t="shared" si="28"/>
        <v>80</v>
      </c>
      <c r="T15">
        <f t="shared" si="28"/>
        <v>80</v>
      </c>
      <c r="U15">
        <f t="shared" si="28"/>
        <v>80</v>
      </c>
      <c r="V15">
        <f t="shared" si="28"/>
        <v>80</v>
      </c>
      <c r="W15">
        <f t="shared" si="28"/>
        <v>80</v>
      </c>
      <c r="X15">
        <f t="shared" si="28"/>
        <v>80</v>
      </c>
      <c r="Y15">
        <f t="shared" si="28"/>
        <v>80</v>
      </c>
      <c r="Z15">
        <f t="shared" si="28"/>
        <v>80</v>
      </c>
      <c r="AA15">
        <f t="shared" si="28"/>
        <v>80</v>
      </c>
    </row>
    <row r="16" spans="1:27" ht="15" customHeight="1" x14ac:dyDescent="0.45">
      <c r="A16" s="82"/>
      <c r="B16"/>
      <c r="C16"/>
      <c r="D16"/>
    </row>
    <row r="17" spans="1:27" ht="15" customHeight="1" x14ac:dyDescent="0.45">
      <c r="A17" s="82"/>
      <c r="B17" t="s">
        <v>77</v>
      </c>
      <c r="C17"/>
      <c r="D17"/>
      <c r="F17">
        <f>'Assumptions and Outputs'!$D$20*'Assumptions and Outputs'!$D$19</f>
        <v>8760</v>
      </c>
      <c r="G17">
        <f>'Assumptions and Outputs'!$D$20*'Assumptions and Outputs'!$D$19</f>
        <v>8760</v>
      </c>
      <c r="H17">
        <f>'Assumptions and Outputs'!$D$20*'Assumptions and Outputs'!$D$19</f>
        <v>8760</v>
      </c>
      <c r="I17">
        <f>'Assumptions and Outputs'!$D$20*'Assumptions and Outputs'!$D$19</f>
        <v>8760</v>
      </c>
      <c r="J17">
        <f>'Assumptions and Outputs'!$D$20*'Assumptions and Outputs'!$D$19</f>
        <v>8760</v>
      </c>
      <c r="K17">
        <f>'Assumptions and Outputs'!$D$20*'Assumptions and Outputs'!$D$19</f>
        <v>8760</v>
      </c>
      <c r="L17">
        <f>'Assumptions and Outputs'!$D$20*'Assumptions and Outputs'!$D$19</f>
        <v>8760</v>
      </c>
      <c r="M17">
        <f>'Assumptions and Outputs'!$D$20*'Assumptions and Outputs'!$D$19</f>
        <v>8760</v>
      </c>
      <c r="N17">
        <f>'Assumptions and Outputs'!$D$20*'Assumptions and Outputs'!$D$19</f>
        <v>8760</v>
      </c>
      <c r="O17">
        <f>'Assumptions and Outputs'!$D$20*'Assumptions and Outputs'!$D$19</f>
        <v>8760</v>
      </c>
      <c r="P17">
        <f>'Assumptions and Outputs'!$D$20*'Assumptions and Outputs'!$D$19</f>
        <v>8760</v>
      </c>
      <c r="Q17">
        <f>'Assumptions and Outputs'!$D$20*'Assumptions and Outputs'!$D$19</f>
        <v>8760</v>
      </c>
      <c r="R17">
        <f>'Assumptions and Outputs'!$D$20*'Assumptions and Outputs'!$D$19</f>
        <v>8760</v>
      </c>
      <c r="S17">
        <f>'Assumptions and Outputs'!$D$20*'Assumptions and Outputs'!$D$19</f>
        <v>8760</v>
      </c>
      <c r="T17">
        <f>'Assumptions and Outputs'!$D$20*'Assumptions and Outputs'!$D$19</f>
        <v>8760</v>
      </c>
      <c r="U17">
        <f>'Assumptions and Outputs'!$D$20*'Assumptions and Outputs'!$D$19</f>
        <v>8760</v>
      </c>
      <c r="V17">
        <f>'Assumptions and Outputs'!$D$20*'Assumptions and Outputs'!$D$19</f>
        <v>8760</v>
      </c>
      <c r="W17">
        <f>'Assumptions and Outputs'!$D$20*'Assumptions and Outputs'!$D$19</f>
        <v>8760</v>
      </c>
      <c r="X17">
        <f>'Assumptions and Outputs'!$D$20*'Assumptions and Outputs'!$D$19</f>
        <v>8760</v>
      </c>
      <c r="Y17">
        <f>'Assumptions and Outputs'!$D$20*'Assumptions and Outputs'!$D$19</f>
        <v>8760</v>
      </c>
      <c r="Z17">
        <f>'Assumptions and Outputs'!$D$20*'Assumptions and Outputs'!$D$19</f>
        <v>8760</v>
      </c>
      <c r="AA17">
        <f>'Assumptions and Outputs'!$D$20*'Assumptions and Outputs'!$D$19</f>
        <v>8760</v>
      </c>
    </row>
    <row r="18" spans="1:27" ht="15" customHeight="1" x14ac:dyDescent="0.45">
      <c r="A18" s="82"/>
      <c r="B18" t="s">
        <v>291</v>
      </c>
      <c r="C18" t="s">
        <v>76</v>
      </c>
      <c r="D18">
        <f>'Assumptions and Outputs'!D21</f>
        <v>240</v>
      </c>
      <c r="F18">
        <f>$D$18*-1</f>
        <v>-240</v>
      </c>
      <c r="G18">
        <f t="shared" ref="G18:AA18" si="29">$D$18*-1</f>
        <v>-240</v>
      </c>
      <c r="H18">
        <f t="shared" si="29"/>
        <v>-240</v>
      </c>
      <c r="I18">
        <f t="shared" si="29"/>
        <v>-240</v>
      </c>
      <c r="J18">
        <f t="shared" si="29"/>
        <v>-240</v>
      </c>
      <c r="K18">
        <f t="shared" si="29"/>
        <v>-240</v>
      </c>
      <c r="L18">
        <f t="shared" si="29"/>
        <v>-240</v>
      </c>
      <c r="M18">
        <f t="shared" si="29"/>
        <v>-240</v>
      </c>
      <c r="N18">
        <f t="shared" si="29"/>
        <v>-240</v>
      </c>
      <c r="O18">
        <f t="shared" si="29"/>
        <v>-240</v>
      </c>
      <c r="P18">
        <f t="shared" si="29"/>
        <v>-240</v>
      </c>
      <c r="Q18">
        <f t="shared" si="29"/>
        <v>-240</v>
      </c>
      <c r="R18">
        <f t="shared" si="29"/>
        <v>-240</v>
      </c>
      <c r="S18">
        <f t="shared" si="29"/>
        <v>-240</v>
      </c>
      <c r="T18">
        <f t="shared" si="29"/>
        <v>-240</v>
      </c>
      <c r="U18">
        <f t="shared" si="29"/>
        <v>-240</v>
      </c>
      <c r="V18">
        <f t="shared" si="29"/>
        <v>-240</v>
      </c>
      <c r="W18">
        <f t="shared" si="29"/>
        <v>-240</v>
      </c>
      <c r="X18">
        <f t="shared" si="29"/>
        <v>-240</v>
      </c>
      <c r="Y18">
        <f t="shared" si="29"/>
        <v>-240</v>
      </c>
      <c r="Z18">
        <f t="shared" si="29"/>
        <v>-240</v>
      </c>
      <c r="AA18">
        <f t="shared" si="29"/>
        <v>-240</v>
      </c>
    </row>
    <row r="19" spans="1:27" ht="15" customHeight="1" x14ac:dyDescent="0.45">
      <c r="A19" s="82"/>
      <c r="B19" t="s">
        <v>292</v>
      </c>
      <c r="C19" t="s">
        <v>76</v>
      </c>
      <c r="D19">
        <f>'Assumptions and Outputs'!D22</f>
        <v>380</v>
      </c>
      <c r="F19">
        <f>$D$19*-1</f>
        <v>-380</v>
      </c>
      <c r="G19">
        <f t="shared" ref="G19:AA19" si="30">$D$19*-1</f>
        <v>-380</v>
      </c>
      <c r="H19">
        <f t="shared" si="30"/>
        <v>-380</v>
      </c>
      <c r="I19">
        <f t="shared" si="30"/>
        <v>-380</v>
      </c>
      <c r="J19">
        <f t="shared" si="30"/>
        <v>-380</v>
      </c>
      <c r="K19">
        <f t="shared" si="30"/>
        <v>-380</v>
      </c>
      <c r="L19">
        <f t="shared" si="30"/>
        <v>-380</v>
      </c>
      <c r="M19">
        <f t="shared" si="30"/>
        <v>-380</v>
      </c>
      <c r="N19">
        <f t="shared" si="30"/>
        <v>-380</v>
      </c>
      <c r="O19">
        <f t="shared" si="30"/>
        <v>-380</v>
      </c>
      <c r="P19">
        <f t="shared" si="30"/>
        <v>-380</v>
      </c>
      <c r="Q19">
        <f t="shared" si="30"/>
        <v>-380</v>
      </c>
      <c r="R19">
        <f t="shared" si="30"/>
        <v>-380</v>
      </c>
      <c r="S19">
        <f t="shared" si="30"/>
        <v>-380</v>
      </c>
      <c r="T19">
        <f t="shared" si="30"/>
        <v>-380</v>
      </c>
      <c r="U19">
        <f t="shared" si="30"/>
        <v>-380</v>
      </c>
      <c r="V19">
        <f t="shared" si="30"/>
        <v>-380</v>
      </c>
      <c r="W19">
        <f t="shared" si="30"/>
        <v>-380</v>
      </c>
      <c r="X19">
        <f t="shared" si="30"/>
        <v>-380</v>
      </c>
      <c r="Y19">
        <f t="shared" si="30"/>
        <v>-380</v>
      </c>
      <c r="Z19">
        <f t="shared" si="30"/>
        <v>-380</v>
      </c>
      <c r="AA19">
        <f t="shared" si="30"/>
        <v>-380</v>
      </c>
    </row>
    <row r="20" spans="1:27" ht="15" customHeight="1" x14ac:dyDescent="0.45">
      <c r="A20" s="82"/>
      <c r="B20" t="s">
        <v>78</v>
      </c>
      <c r="C20"/>
      <c r="D20"/>
      <c r="F20">
        <f>SUM(F17:F19)</f>
        <v>8140</v>
      </c>
      <c r="G20">
        <f t="shared" ref="G20:K20" si="31">SUM(G17:G19)</f>
        <v>8140</v>
      </c>
      <c r="H20">
        <f t="shared" si="31"/>
        <v>8140</v>
      </c>
      <c r="I20">
        <f t="shared" si="31"/>
        <v>8140</v>
      </c>
      <c r="J20">
        <f t="shared" si="31"/>
        <v>8140</v>
      </c>
      <c r="K20">
        <f t="shared" si="31"/>
        <v>8140</v>
      </c>
      <c r="L20">
        <f t="shared" ref="L20:AA20" si="32">SUM(L17:L19)</f>
        <v>8140</v>
      </c>
      <c r="M20">
        <f t="shared" si="32"/>
        <v>8140</v>
      </c>
      <c r="N20">
        <f t="shared" si="32"/>
        <v>8140</v>
      </c>
      <c r="O20">
        <f t="shared" si="32"/>
        <v>8140</v>
      </c>
      <c r="P20">
        <f t="shared" si="32"/>
        <v>8140</v>
      </c>
      <c r="Q20">
        <f t="shared" si="32"/>
        <v>8140</v>
      </c>
      <c r="R20">
        <f t="shared" si="32"/>
        <v>8140</v>
      </c>
      <c r="S20">
        <f t="shared" si="32"/>
        <v>8140</v>
      </c>
      <c r="T20">
        <f t="shared" si="32"/>
        <v>8140</v>
      </c>
      <c r="U20">
        <f t="shared" si="32"/>
        <v>8140</v>
      </c>
      <c r="V20">
        <f t="shared" si="32"/>
        <v>8140</v>
      </c>
      <c r="W20">
        <f t="shared" si="32"/>
        <v>8140</v>
      </c>
      <c r="X20">
        <f t="shared" si="32"/>
        <v>8140</v>
      </c>
      <c r="Y20">
        <f t="shared" si="32"/>
        <v>8140</v>
      </c>
      <c r="Z20">
        <f t="shared" si="32"/>
        <v>8140</v>
      </c>
      <c r="AA20">
        <f t="shared" si="32"/>
        <v>8140</v>
      </c>
    </row>
    <row r="21" spans="1:27" ht="15" customHeight="1" x14ac:dyDescent="0.45">
      <c r="A21" s="82"/>
      <c r="B21"/>
      <c r="C21"/>
      <c r="D21"/>
    </row>
    <row r="22" spans="1:27" ht="15" customHeight="1" x14ac:dyDescent="0.45">
      <c r="A22" s="82"/>
      <c r="B22" t="s">
        <v>80</v>
      </c>
      <c r="C22"/>
      <c r="D22"/>
      <c r="F22">
        <f>F15*F20</f>
        <v>0</v>
      </c>
      <c r="G22">
        <f t="shared" ref="G22:K22" si="33">G15*G20</f>
        <v>0</v>
      </c>
      <c r="H22">
        <f t="shared" si="33"/>
        <v>520960</v>
      </c>
      <c r="I22">
        <f t="shared" si="33"/>
        <v>651200</v>
      </c>
      <c r="J22">
        <f t="shared" si="33"/>
        <v>651200</v>
      </c>
      <c r="K22">
        <f t="shared" si="33"/>
        <v>651200</v>
      </c>
      <c r="L22">
        <f t="shared" ref="L22:AA22" si="34">L15*L20</f>
        <v>651200</v>
      </c>
      <c r="M22">
        <f t="shared" si="34"/>
        <v>651200</v>
      </c>
      <c r="N22">
        <f t="shared" si="34"/>
        <v>651200</v>
      </c>
      <c r="O22">
        <f t="shared" si="34"/>
        <v>651200</v>
      </c>
      <c r="P22">
        <f t="shared" si="34"/>
        <v>651200</v>
      </c>
      <c r="Q22">
        <f t="shared" si="34"/>
        <v>651200</v>
      </c>
      <c r="R22">
        <f t="shared" si="34"/>
        <v>651200</v>
      </c>
      <c r="S22">
        <f t="shared" si="34"/>
        <v>651200</v>
      </c>
      <c r="T22">
        <f t="shared" si="34"/>
        <v>651200</v>
      </c>
      <c r="U22">
        <f t="shared" si="34"/>
        <v>651200</v>
      </c>
      <c r="V22">
        <f t="shared" si="34"/>
        <v>651200</v>
      </c>
      <c r="W22">
        <f t="shared" si="34"/>
        <v>651200</v>
      </c>
      <c r="X22">
        <f t="shared" si="34"/>
        <v>651200</v>
      </c>
      <c r="Y22">
        <f t="shared" si="34"/>
        <v>651200</v>
      </c>
      <c r="Z22">
        <f t="shared" si="34"/>
        <v>651200</v>
      </c>
      <c r="AA22">
        <f t="shared" si="34"/>
        <v>651200</v>
      </c>
    </row>
    <row r="23" spans="1:27" ht="15" customHeight="1" x14ac:dyDescent="0.45">
      <c r="A23" s="82"/>
      <c r="B23"/>
      <c r="C23"/>
      <c r="D23"/>
    </row>
    <row r="24" spans="1:27" ht="15" customHeight="1" x14ac:dyDescent="0.45">
      <c r="A24" s="82" t="s">
        <v>90</v>
      </c>
      <c r="B24"/>
      <c r="C24"/>
      <c r="D24"/>
    </row>
    <row r="25" spans="1:27" ht="15" customHeight="1" x14ac:dyDescent="0.45">
      <c r="A25" s="82"/>
      <c r="B25" t="s">
        <v>85</v>
      </c>
      <c r="C25" t="s">
        <v>304</v>
      </c>
      <c r="D25" s="67">
        <f>'Assumptions and Outputs'!D27</f>
        <v>0.55000000000000004</v>
      </c>
      <c r="F25">
        <f>$D25*F$22</f>
        <v>0</v>
      </c>
      <c r="G25">
        <f t="shared" ref="G25:V27" si="35">$D25*G$22</f>
        <v>0</v>
      </c>
      <c r="H25">
        <f t="shared" si="35"/>
        <v>286528</v>
      </c>
      <c r="I25">
        <f t="shared" si="35"/>
        <v>358160</v>
      </c>
      <c r="J25">
        <f t="shared" si="35"/>
        <v>358160</v>
      </c>
      <c r="K25">
        <f t="shared" si="35"/>
        <v>358160</v>
      </c>
      <c r="L25">
        <f t="shared" si="35"/>
        <v>358160</v>
      </c>
      <c r="M25">
        <f t="shared" si="35"/>
        <v>358160</v>
      </c>
      <c r="N25">
        <f t="shared" si="35"/>
        <v>358160</v>
      </c>
      <c r="O25">
        <f t="shared" si="35"/>
        <v>358160</v>
      </c>
      <c r="P25">
        <f t="shared" si="35"/>
        <v>358160</v>
      </c>
      <c r="Q25">
        <f t="shared" si="35"/>
        <v>358160</v>
      </c>
      <c r="R25">
        <f t="shared" si="35"/>
        <v>358160</v>
      </c>
      <c r="S25">
        <f t="shared" si="35"/>
        <v>358160</v>
      </c>
      <c r="T25">
        <f t="shared" si="35"/>
        <v>358160</v>
      </c>
      <c r="U25">
        <f t="shared" si="35"/>
        <v>358160</v>
      </c>
      <c r="V25">
        <f t="shared" si="35"/>
        <v>358160</v>
      </c>
      <c r="W25">
        <f t="shared" ref="L25:AA27" si="36">$D25*W$22</f>
        <v>358160</v>
      </c>
      <c r="X25">
        <f t="shared" si="36"/>
        <v>358160</v>
      </c>
      <c r="Y25">
        <f t="shared" si="36"/>
        <v>358160</v>
      </c>
      <c r="Z25">
        <f t="shared" si="36"/>
        <v>358160</v>
      </c>
      <c r="AA25">
        <f t="shared" si="36"/>
        <v>358160</v>
      </c>
    </row>
    <row r="26" spans="1:27" ht="15" customHeight="1" x14ac:dyDescent="0.45">
      <c r="A26" s="82"/>
      <c r="B26" t="s">
        <v>84</v>
      </c>
      <c r="C26" t="s">
        <v>304</v>
      </c>
      <c r="D26" s="67">
        <f>'Assumptions and Outputs'!D28</f>
        <v>0.25</v>
      </c>
      <c r="F26">
        <f t="shared" ref="F26:F27" si="37">$D26*F$22</f>
        <v>0</v>
      </c>
      <c r="G26">
        <f t="shared" si="35"/>
        <v>0</v>
      </c>
      <c r="H26">
        <f t="shared" si="35"/>
        <v>130240</v>
      </c>
      <c r="I26">
        <f t="shared" si="35"/>
        <v>162800</v>
      </c>
      <c r="J26">
        <f t="shared" si="35"/>
        <v>162800</v>
      </c>
      <c r="K26">
        <f t="shared" si="35"/>
        <v>162800</v>
      </c>
      <c r="L26">
        <f t="shared" si="36"/>
        <v>162800</v>
      </c>
      <c r="M26">
        <f t="shared" si="36"/>
        <v>162800</v>
      </c>
      <c r="N26">
        <f t="shared" si="36"/>
        <v>162800</v>
      </c>
      <c r="O26">
        <f t="shared" si="36"/>
        <v>162800</v>
      </c>
      <c r="P26">
        <f t="shared" si="36"/>
        <v>162800</v>
      </c>
      <c r="Q26">
        <f t="shared" si="36"/>
        <v>162800</v>
      </c>
      <c r="R26">
        <f t="shared" si="36"/>
        <v>162800</v>
      </c>
      <c r="S26">
        <f t="shared" si="36"/>
        <v>162800</v>
      </c>
      <c r="T26">
        <f t="shared" si="36"/>
        <v>162800</v>
      </c>
      <c r="U26">
        <f t="shared" si="36"/>
        <v>162800</v>
      </c>
      <c r="V26">
        <f t="shared" si="36"/>
        <v>162800</v>
      </c>
      <c r="W26">
        <f t="shared" si="36"/>
        <v>162800</v>
      </c>
      <c r="X26">
        <f t="shared" si="36"/>
        <v>162800</v>
      </c>
      <c r="Y26">
        <f t="shared" si="36"/>
        <v>162800</v>
      </c>
      <c r="Z26">
        <f t="shared" si="36"/>
        <v>162800</v>
      </c>
      <c r="AA26">
        <f t="shared" si="36"/>
        <v>162800</v>
      </c>
    </row>
    <row r="27" spans="1:27" ht="15" customHeight="1" x14ac:dyDescent="0.45">
      <c r="A27" s="82"/>
      <c r="B27" t="s">
        <v>83</v>
      </c>
      <c r="C27" t="s">
        <v>304</v>
      </c>
      <c r="D27" s="67">
        <f>'Assumptions and Outputs'!D29</f>
        <v>0.19999999999999996</v>
      </c>
      <c r="F27">
        <f t="shared" si="37"/>
        <v>0</v>
      </c>
      <c r="G27">
        <f t="shared" si="35"/>
        <v>0</v>
      </c>
      <c r="H27">
        <f t="shared" si="35"/>
        <v>104191.99999999997</v>
      </c>
      <c r="I27">
        <f t="shared" si="35"/>
        <v>130239.99999999997</v>
      </c>
      <c r="J27">
        <f t="shared" si="35"/>
        <v>130239.99999999997</v>
      </c>
      <c r="K27">
        <f t="shared" si="35"/>
        <v>130239.99999999997</v>
      </c>
      <c r="L27">
        <f t="shared" si="36"/>
        <v>130239.99999999997</v>
      </c>
      <c r="M27">
        <f t="shared" si="36"/>
        <v>130239.99999999997</v>
      </c>
      <c r="N27">
        <f t="shared" si="36"/>
        <v>130239.99999999997</v>
      </c>
      <c r="O27">
        <f t="shared" si="36"/>
        <v>130239.99999999997</v>
      </c>
      <c r="P27">
        <f t="shared" si="36"/>
        <v>130239.99999999997</v>
      </c>
      <c r="Q27">
        <f t="shared" si="36"/>
        <v>130239.99999999997</v>
      </c>
      <c r="R27">
        <f t="shared" si="36"/>
        <v>130239.99999999997</v>
      </c>
      <c r="S27">
        <f t="shared" si="36"/>
        <v>130239.99999999997</v>
      </c>
      <c r="T27">
        <f t="shared" si="36"/>
        <v>130239.99999999997</v>
      </c>
      <c r="U27">
        <f t="shared" si="36"/>
        <v>130239.99999999997</v>
      </c>
      <c r="V27">
        <f t="shared" si="36"/>
        <v>130239.99999999997</v>
      </c>
      <c r="W27">
        <f t="shared" si="36"/>
        <v>130239.99999999997</v>
      </c>
      <c r="X27">
        <f t="shared" si="36"/>
        <v>130239.99999999997</v>
      </c>
      <c r="Y27">
        <f t="shared" si="36"/>
        <v>130239.99999999997</v>
      </c>
      <c r="Z27">
        <f t="shared" si="36"/>
        <v>130239.99999999997</v>
      </c>
      <c r="AA27">
        <f t="shared" si="36"/>
        <v>130239.99999999997</v>
      </c>
    </row>
    <row r="28" spans="1:27" ht="15" customHeight="1" x14ac:dyDescent="0.45">
      <c r="A28" s="82"/>
      <c r="B28"/>
      <c r="C28"/>
      <c r="D28"/>
    </row>
    <row r="29" spans="1:27" ht="15" customHeight="1" x14ac:dyDescent="0.45">
      <c r="A29" s="82"/>
      <c r="B29" t="s">
        <v>101</v>
      </c>
      <c r="C29" t="s">
        <v>104</v>
      </c>
      <c r="D29" s="86">
        <f>'Assumptions and Outputs'!D35/1000</f>
        <v>0.04</v>
      </c>
      <c r="F29" s="88">
        <f>$D29*F$10</f>
        <v>4.1600000000000005E-2</v>
      </c>
      <c r="G29" s="88">
        <f t="shared" ref="G29:V31" si="38">$D29*G$10</f>
        <v>4.3264000000000004E-2</v>
      </c>
      <c r="H29" s="88">
        <f t="shared" si="38"/>
        <v>4.4994560000000003E-2</v>
      </c>
      <c r="I29" s="88">
        <f t="shared" si="38"/>
        <v>4.6794342400000008E-2</v>
      </c>
      <c r="J29" s="88">
        <f t="shared" si="38"/>
        <v>4.8666116096000016E-2</v>
      </c>
      <c r="K29" s="88">
        <f t="shared" si="38"/>
        <v>5.0612760739840015E-2</v>
      </c>
      <c r="L29" s="88">
        <f t="shared" si="38"/>
        <v>5.2637271169433619E-2</v>
      </c>
      <c r="M29" s="88">
        <f t="shared" si="38"/>
        <v>5.4742762016210963E-2</v>
      </c>
      <c r="N29" s="88">
        <f t="shared" si="38"/>
        <v>5.6932472496859406E-2</v>
      </c>
      <c r="O29" s="88">
        <f t="shared" si="38"/>
        <v>5.9209771396733786E-2</v>
      </c>
      <c r="P29" s="88">
        <f t="shared" si="38"/>
        <v>6.1578162252603139E-2</v>
      </c>
      <c r="Q29" s="88">
        <f t="shared" si="38"/>
        <v>6.4041288742707272E-2</v>
      </c>
      <c r="R29" s="88">
        <f t="shared" si="38"/>
        <v>6.6602940292415563E-2</v>
      </c>
      <c r="S29" s="88">
        <f t="shared" si="38"/>
        <v>6.9267057904112181E-2</v>
      </c>
      <c r="T29" s="88">
        <f t="shared" si="38"/>
        <v>7.2037740220276675E-2</v>
      </c>
      <c r="U29" s="88">
        <f t="shared" si="38"/>
        <v>7.4919249829087736E-2</v>
      </c>
      <c r="V29" s="88">
        <f t="shared" si="38"/>
        <v>7.7916019822251256E-2</v>
      </c>
      <c r="W29" s="88">
        <f t="shared" ref="L29:AA31" si="39">$D29*W$10</f>
        <v>8.1032660615141305E-2</v>
      </c>
      <c r="X29" s="88">
        <f t="shared" si="39"/>
        <v>8.4273967039746961E-2</v>
      </c>
      <c r="Y29" s="88">
        <f t="shared" si="39"/>
        <v>8.7644925721336836E-2</v>
      </c>
      <c r="Z29" s="88">
        <f t="shared" si="39"/>
        <v>9.1150722750190316E-2</v>
      </c>
      <c r="AA29" s="88">
        <f t="shared" si="39"/>
        <v>9.4796751660197923E-2</v>
      </c>
    </row>
    <row r="30" spans="1:27" ht="15" customHeight="1" x14ac:dyDescent="0.45">
      <c r="A30" s="82"/>
      <c r="B30" t="s">
        <v>102</v>
      </c>
      <c r="C30" t="s">
        <v>104</v>
      </c>
      <c r="D30" s="86">
        <f>'Assumptions and Outputs'!D36/1000</f>
        <v>0.03</v>
      </c>
      <c r="F30" s="88">
        <f t="shared" ref="F30:F31" si="40">$D30*F$10</f>
        <v>3.1199999999999999E-2</v>
      </c>
      <c r="G30" s="88">
        <f t="shared" si="38"/>
        <v>3.2448000000000005E-2</v>
      </c>
      <c r="H30" s="88">
        <f t="shared" si="38"/>
        <v>3.3745919999999999E-2</v>
      </c>
      <c r="I30" s="88">
        <f t="shared" si="38"/>
        <v>3.5095756800000003E-2</v>
      </c>
      <c r="J30" s="88">
        <f t="shared" si="38"/>
        <v>3.649958707200001E-2</v>
      </c>
      <c r="K30" s="88">
        <f t="shared" si="38"/>
        <v>3.7959570554880008E-2</v>
      </c>
      <c r="L30" s="88">
        <f t="shared" si="39"/>
        <v>3.9477953377075214E-2</v>
      </c>
      <c r="M30" s="88">
        <f t="shared" si="39"/>
        <v>4.1057071512158219E-2</v>
      </c>
      <c r="N30" s="88">
        <f t="shared" si="39"/>
        <v>4.2699354372644556E-2</v>
      </c>
      <c r="O30" s="88">
        <f t="shared" si="39"/>
        <v>4.4407328547550334E-2</v>
      </c>
      <c r="P30" s="88">
        <f t="shared" si="39"/>
        <v>4.618362168945235E-2</v>
      </c>
      <c r="Q30" s="88">
        <f t="shared" si="39"/>
        <v>4.8030966557030451E-2</v>
      </c>
      <c r="R30" s="88">
        <f t="shared" si="39"/>
        <v>4.9952205219311673E-2</v>
      </c>
      <c r="S30" s="88">
        <f t="shared" si="39"/>
        <v>5.1950293428084139E-2</v>
      </c>
      <c r="T30" s="88">
        <f t="shared" si="39"/>
        <v>5.4028305165207499E-2</v>
      </c>
      <c r="U30" s="88">
        <f t="shared" si="39"/>
        <v>5.6189437371815802E-2</v>
      </c>
      <c r="V30" s="88">
        <f t="shared" si="39"/>
        <v>5.8437014866688439E-2</v>
      </c>
      <c r="W30" s="88">
        <f t="shared" si="39"/>
        <v>6.0774495461355972E-2</v>
      </c>
      <c r="X30" s="88">
        <f t="shared" si="39"/>
        <v>6.3205475279810214E-2</v>
      </c>
      <c r="Y30" s="88">
        <f t="shared" si="39"/>
        <v>6.573369429100262E-2</v>
      </c>
      <c r="Z30" s="88">
        <f t="shared" si="39"/>
        <v>6.8363042062642737E-2</v>
      </c>
      <c r="AA30" s="88">
        <f t="shared" si="39"/>
        <v>7.1097563745148432E-2</v>
      </c>
    </row>
    <row r="31" spans="1:27" ht="15" customHeight="1" x14ac:dyDescent="0.45">
      <c r="A31" s="82"/>
      <c r="B31" t="s">
        <v>103</v>
      </c>
      <c r="C31" t="s">
        <v>104</v>
      </c>
      <c r="D31" s="86">
        <f>'Assumptions and Outputs'!D37/1000</f>
        <v>0.05</v>
      </c>
      <c r="F31" s="88">
        <f t="shared" si="40"/>
        <v>5.2000000000000005E-2</v>
      </c>
      <c r="G31" s="88">
        <f t="shared" si="38"/>
        <v>5.408000000000001E-2</v>
      </c>
      <c r="H31" s="88">
        <f t="shared" si="38"/>
        <v>5.6243200000000007E-2</v>
      </c>
      <c r="I31" s="88">
        <f t="shared" si="38"/>
        <v>5.8492928000000013E-2</v>
      </c>
      <c r="J31" s="88">
        <f t="shared" si="38"/>
        <v>6.0832645120000021E-2</v>
      </c>
      <c r="K31" s="88">
        <f t="shared" si="38"/>
        <v>6.3265950924800016E-2</v>
      </c>
      <c r="L31" s="88">
        <f t="shared" si="39"/>
        <v>6.5796588961792024E-2</v>
      </c>
      <c r="M31" s="88">
        <f t="shared" si="39"/>
        <v>6.8428452520263708E-2</v>
      </c>
      <c r="N31" s="88">
        <f t="shared" si="39"/>
        <v>7.1165590621074262E-2</v>
      </c>
      <c r="O31" s="88">
        <f t="shared" si="39"/>
        <v>7.4012214245917238E-2</v>
      </c>
      <c r="P31" s="88">
        <f t="shared" si="39"/>
        <v>7.6972702815753927E-2</v>
      </c>
      <c r="Q31" s="88">
        <f t="shared" si="39"/>
        <v>8.0051610928384087E-2</v>
      </c>
      <c r="R31" s="88">
        <f t="shared" si="39"/>
        <v>8.3253675365519461E-2</v>
      </c>
      <c r="S31" s="88">
        <f t="shared" si="39"/>
        <v>8.658382238014023E-2</v>
      </c>
      <c r="T31" s="88">
        <f t="shared" si="39"/>
        <v>9.0047175275345837E-2</v>
      </c>
      <c r="U31" s="88">
        <f t="shared" si="39"/>
        <v>9.3649062286359677E-2</v>
      </c>
      <c r="V31" s="88">
        <f t="shared" si="39"/>
        <v>9.7395024777814074E-2</v>
      </c>
      <c r="W31" s="88">
        <f t="shared" si="39"/>
        <v>0.10129082576892663</v>
      </c>
      <c r="X31" s="88">
        <f t="shared" si="39"/>
        <v>0.10534245879968369</v>
      </c>
      <c r="Y31" s="88">
        <f t="shared" si="39"/>
        <v>0.10955615715167105</v>
      </c>
      <c r="Z31" s="88">
        <f t="shared" si="39"/>
        <v>0.1139384034377379</v>
      </c>
      <c r="AA31" s="88">
        <f t="shared" si="39"/>
        <v>0.1184959395752474</v>
      </c>
    </row>
    <row r="32" spans="1:27" ht="15" customHeight="1" x14ac:dyDescent="0.45">
      <c r="A32" s="82"/>
      <c r="B32"/>
      <c r="C32"/>
      <c r="D32"/>
    </row>
    <row r="33" spans="1:32" ht="15" customHeight="1" x14ac:dyDescent="0.45">
      <c r="A33" s="82"/>
      <c r="B33" t="s">
        <v>86</v>
      </c>
      <c r="C33"/>
      <c r="D33"/>
      <c r="F33">
        <f>F25*F29</f>
        <v>0</v>
      </c>
      <c r="G33">
        <f t="shared" ref="G33:K33" si="41">G25*G29</f>
        <v>0</v>
      </c>
      <c r="H33">
        <f t="shared" si="41"/>
        <v>12892.20128768</v>
      </c>
      <c r="I33">
        <f t="shared" si="41"/>
        <v>16759.861673984004</v>
      </c>
      <c r="J33">
        <f t="shared" si="41"/>
        <v>17430.256140943366</v>
      </c>
      <c r="K33">
        <f t="shared" si="41"/>
        <v>18127.466386581102</v>
      </c>
      <c r="L33">
        <f t="shared" ref="L33:AA33" si="42">L25*L29</f>
        <v>18852.565042044345</v>
      </c>
      <c r="M33">
        <f t="shared" si="42"/>
        <v>19606.667643726119</v>
      </c>
      <c r="N33">
        <f t="shared" si="42"/>
        <v>20390.934349475167</v>
      </c>
      <c r="O33">
        <f t="shared" si="42"/>
        <v>21206.571723454173</v>
      </c>
      <c r="P33">
        <f t="shared" si="42"/>
        <v>22054.834592392341</v>
      </c>
      <c r="Q33">
        <f t="shared" si="42"/>
        <v>22937.027976088037</v>
      </c>
      <c r="R33">
        <f t="shared" si="42"/>
        <v>23854.509095131558</v>
      </c>
      <c r="S33">
        <f t="shared" si="42"/>
        <v>24808.68945893682</v>
      </c>
      <c r="T33">
        <f t="shared" si="42"/>
        <v>25801.037037294293</v>
      </c>
      <c r="U33">
        <f t="shared" si="42"/>
        <v>26833.078518786064</v>
      </c>
      <c r="V33">
        <f t="shared" si="42"/>
        <v>27906.401659537511</v>
      </c>
      <c r="W33">
        <f t="shared" si="42"/>
        <v>29022.657725919009</v>
      </c>
      <c r="X33">
        <f t="shared" si="42"/>
        <v>30183.564034955773</v>
      </c>
      <c r="Y33">
        <f t="shared" si="42"/>
        <v>31390.906596354002</v>
      </c>
      <c r="Z33">
        <f t="shared" si="42"/>
        <v>32646.542860208163</v>
      </c>
      <c r="AA33">
        <f t="shared" si="42"/>
        <v>33952.404574616485</v>
      </c>
    </row>
    <row r="34" spans="1:32" ht="15" customHeight="1" x14ac:dyDescent="0.45">
      <c r="A34" s="82"/>
      <c r="B34" t="s">
        <v>87</v>
      </c>
      <c r="C34"/>
      <c r="D34"/>
      <c r="F34">
        <f t="shared" ref="F34:K34" si="43">F26*F30</f>
        <v>0</v>
      </c>
      <c r="G34">
        <f t="shared" si="43"/>
        <v>0</v>
      </c>
      <c r="H34">
        <f t="shared" si="43"/>
        <v>4395.0686207999997</v>
      </c>
      <c r="I34">
        <f t="shared" si="43"/>
        <v>5713.5892070400005</v>
      </c>
      <c r="J34">
        <f t="shared" si="43"/>
        <v>5942.1327753216019</v>
      </c>
      <c r="K34">
        <f t="shared" si="43"/>
        <v>6179.8180863344651</v>
      </c>
      <c r="L34">
        <f t="shared" ref="L34:AA34" si="44">L26*L30</f>
        <v>6427.0108097878447</v>
      </c>
      <c r="M34">
        <f t="shared" si="44"/>
        <v>6684.0912421793582</v>
      </c>
      <c r="N34">
        <f t="shared" si="44"/>
        <v>6951.4548918665341</v>
      </c>
      <c r="O34">
        <f t="shared" si="44"/>
        <v>7229.5130875411942</v>
      </c>
      <c r="P34">
        <f t="shared" si="44"/>
        <v>7518.6936110428423</v>
      </c>
      <c r="Q34">
        <f t="shared" si="44"/>
        <v>7819.4413554845578</v>
      </c>
      <c r="R34">
        <f t="shared" si="44"/>
        <v>8132.2190097039402</v>
      </c>
      <c r="S34">
        <f t="shared" si="44"/>
        <v>8457.5077700920974</v>
      </c>
      <c r="T34">
        <f t="shared" si="44"/>
        <v>8795.8080808957802</v>
      </c>
      <c r="U34">
        <f t="shared" si="44"/>
        <v>9147.6404041316127</v>
      </c>
      <c r="V34">
        <f t="shared" si="44"/>
        <v>9513.546020296877</v>
      </c>
      <c r="W34">
        <f t="shared" si="44"/>
        <v>9894.0878611087519</v>
      </c>
      <c r="X34">
        <f t="shared" si="44"/>
        <v>10289.851375553102</v>
      </c>
      <c r="Y34">
        <f t="shared" si="44"/>
        <v>10701.445430575226</v>
      </c>
      <c r="Z34">
        <f t="shared" si="44"/>
        <v>11129.503247798237</v>
      </c>
      <c r="AA34">
        <f t="shared" si="44"/>
        <v>11574.683377710164</v>
      </c>
    </row>
    <row r="35" spans="1:32" ht="15" customHeight="1" x14ac:dyDescent="0.45">
      <c r="A35" s="82"/>
      <c r="B35" t="s">
        <v>88</v>
      </c>
      <c r="C35"/>
      <c r="D35"/>
      <c r="F35">
        <f t="shared" ref="F35:K35" si="45">F27*F31</f>
        <v>0</v>
      </c>
      <c r="G35">
        <f t="shared" si="45"/>
        <v>0</v>
      </c>
      <c r="H35">
        <f t="shared" si="45"/>
        <v>5860.0914943999987</v>
      </c>
      <c r="I35">
        <f t="shared" si="45"/>
        <v>7618.1189427199997</v>
      </c>
      <c r="J35">
        <f t="shared" si="45"/>
        <v>7922.8437004288007</v>
      </c>
      <c r="K35">
        <f t="shared" si="45"/>
        <v>8239.7574484459528</v>
      </c>
      <c r="L35">
        <f t="shared" ref="L35:AA35" si="46">L27*L31</f>
        <v>8569.3477463837917</v>
      </c>
      <c r="M35">
        <f t="shared" si="46"/>
        <v>8912.1216562391437</v>
      </c>
      <c r="N35">
        <f t="shared" si="46"/>
        <v>9268.6065224887097</v>
      </c>
      <c r="O35">
        <f t="shared" si="46"/>
        <v>9639.3507833882595</v>
      </c>
      <c r="P35">
        <f t="shared" si="46"/>
        <v>10024.924814723789</v>
      </c>
      <c r="Q35">
        <f t="shared" si="46"/>
        <v>10425.921807312741</v>
      </c>
      <c r="R35">
        <f t="shared" si="46"/>
        <v>10842.958679605252</v>
      </c>
      <c r="S35">
        <f t="shared" si="46"/>
        <v>11276.677026789461</v>
      </c>
      <c r="T35">
        <f t="shared" si="46"/>
        <v>11727.744107861039</v>
      </c>
      <c r="U35">
        <f t="shared" si="46"/>
        <v>12196.853872175481</v>
      </c>
      <c r="V35">
        <f t="shared" si="46"/>
        <v>12684.728027062501</v>
      </c>
      <c r="W35">
        <f t="shared" si="46"/>
        <v>13192.117148145002</v>
      </c>
      <c r="X35">
        <f t="shared" si="46"/>
        <v>13719.8018340708</v>
      </c>
      <c r="Y35">
        <f t="shared" si="46"/>
        <v>14268.593907433635</v>
      </c>
      <c r="Z35">
        <f t="shared" si="46"/>
        <v>14839.337663730979</v>
      </c>
      <c r="AA35">
        <f t="shared" si="46"/>
        <v>15432.911170280218</v>
      </c>
    </row>
    <row r="36" spans="1:32" ht="15" customHeight="1" x14ac:dyDescent="0.45">
      <c r="A36" s="82"/>
      <c r="B36" t="s">
        <v>91</v>
      </c>
      <c r="C36"/>
      <c r="D36"/>
      <c r="F36" s="87">
        <f>SUM(F33:F35)</f>
        <v>0</v>
      </c>
      <c r="G36" s="87">
        <f t="shared" ref="G36:K36" si="47">SUM(G33:G35)</f>
        <v>0</v>
      </c>
      <c r="H36" s="87">
        <f t="shared" si="47"/>
        <v>23147.36140288</v>
      </c>
      <c r="I36" s="87">
        <f t="shared" si="47"/>
        <v>30091.569823744005</v>
      </c>
      <c r="J36" s="87">
        <f t="shared" si="47"/>
        <v>31295.232616693771</v>
      </c>
      <c r="K36" s="87">
        <f t="shared" si="47"/>
        <v>32547.041921361517</v>
      </c>
      <c r="L36" s="87">
        <f t="shared" ref="L36:AA36" si="48">SUM(L33:L35)</f>
        <v>33848.923598215981</v>
      </c>
      <c r="M36" s="87">
        <f t="shared" si="48"/>
        <v>35202.880542144623</v>
      </c>
      <c r="N36" s="87">
        <f t="shared" si="48"/>
        <v>36610.995763830411</v>
      </c>
      <c r="O36" s="87">
        <f t="shared" si="48"/>
        <v>38075.435594383627</v>
      </c>
      <c r="P36" s="87">
        <f t="shared" si="48"/>
        <v>39598.453018158973</v>
      </c>
      <c r="Q36" s="87">
        <f t="shared" si="48"/>
        <v>41182.391138885338</v>
      </c>
      <c r="R36" s="87">
        <f t="shared" si="48"/>
        <v>42829.686784440753</v>
      </c>
      <c r="S36" s="87">
        <f t="shared" si="48"/>
        <v>44542.87425581838</v>
      </c>
      <c r="T36" s="87">
        <f t="shared" si="48"/>
        <v>46324.589226051117</v>
      </c>
      <c r="U36" s="87">
        <f t="shared" si="48"/>
        <v>48177.572795093154</v>
      </c>
      <c r="V36" s="87">
        <f t="shared" si="48"/>
        <v>50104.675706896887</v>
      </c>
      <c r="W36" s="87">
        <f t="shared" si="48"/>
        <v>52108.862735172763</v>
      </c>
      <c r="X36" s="87">
        <f t="shared" si="48"/>
        <v>54193.217244579675</v>
      </c>
      <c r="Y36" s="87">
        <f t="shared" si="48"/>
        <v>56360.945934362862</v>
      </c>
      <c r="Z36" s="87">
        <f t="shared" si="48"/>
        <v>58615.383771737375</v>
      </c>
      <c r="AA36" s="87">
        <f t="shared" si="48"/>
        <v>60959.999122606867</v>
      </c>
    </row>
    <row r="37" spans="1:32" ht="15" customHeight="1" x14ac:dyDescent="0.45">
      <c r="A37" s="82"/>
      <c r="C37"/>
      <c r="D37"/>
    </row>
    <row r="38" spans="1:32" ht="15" customHeight="1" x14ac:dyDescent="0.45">
      <c r="A38" s="82"/>
      <c r="B38" t="s">
        <v>92</v>
      </c>
      <c r="C38" t="s">
        <v>99</v>
      </c>
      <c r="D38" s="67">
        <f>'Assumptions and Outputs'!D31</f>
        <v>1</v>
      </c>
      <c r="E38" s="94"/>
      <c r="F38" s="90">
        <f ca="1">IF(circ_switch=1,Debt!F59*-1,0)</f>
        <v>0</v>
      </c>
      <c r="G38" s="90">
        <f ca="1">IF(circ_switch=1,Debt!G59*-1,0)</f>
        <v>0</v>
      </c>
      <c r="H38" s="90">
        <f ca="1">IF(circ_switch=1,Debt!H59*-1,0)</f>
        <v>5736.4805578398555</v>
      </c>
      <c r="I38" s="90">
        <f ca="1">IF(circ_switch=1,Debt!I59*-1,0)</f>
        <v>5736.4805578398555</v>
      </c>
      <c r="J38" s="90">
        <f ca="1">IF(circ_switch=1,Debt!J59*-1,0)</f>
        <v>13289.106449736246</v>
      </c>
      <c r="K38" s="90">
        <f ca="1">IF(circ_switch=1,Debt!K59*-1,0)</f>
        <v>12934.339708854233</v>
      </c>
      <c r="L38" s="90">
        <f ca="1">IF(circ_switch=1,Debt!L59*-1,0)</f>
        <v>12579.572967972221</v>
      </c>
      <c r="M38" s="90">
        <f ca="1">IF(circ_switch=1,Debt!M59*-1,0)</f>
        <v>12224.806227090212</v>
      </c>
      <c r="N38" s="90">
        <f ca="1">IF(circ_switch=1,Debt!N59*-1,0)</f>
        <v>11870.039486208199</v>
      </c>
      <c r="O38" s="90">
        <f ca="1">IF(circ_switch=1,Debt!O59*-1,0)</f>
        <v>11515.27274532619</v>
      </c>
      <c r="P38" s="90">
        <f ca="1">IF(circ_switch=1,Debt!P59*-1,0)</f>
        <v>11160.506004444178</v>
      </c>
      <c r="Q38" s="90">
        <f ca="1">IF(circ_switch=1,Debt!Q59*-1,0)</f>
        <v>10805.739263562167</v>
      </c>
      <c r="R38" s="90">
        <f ca="1">IF(circ_switch=1,Debt!R59*-1,0)</f>
        <v>10450.972522680157</v>
      </c>
      <c r="S38" s="90">
        <f ca="1">IF(circ_switch=1,Debt!S59*-1,0)</f>
        <v>10096.205781798144</v>
      </c>
      <c r="T38" s="90">
        <f ca="1">IF(circ_switch=1,Debt!T59*-1,0)</f>
        <v>9741.4390409161333</v>
      </c>
      <c r="U38" s="90">
        <f ca="1">IF(circ_switch=1,Debt!U59*-1,0)</f>
        <v>9386.6723000341226</v>
      </c>
      <c r="V38" s="90">
        <f ca="1">IF(circ_switch=1,Debt!V59*-1,0)</f>
        <v>9031.9055591521119</v>
      </c>
      <c r="W38" s="90">
        <f ca="1">IF(circ_switch=1,Debt!W59*-1,0)</f>
        <v>8677.1388182701012</v>
      </c>
      <c r="X38" s="90">
        <f ca="1">IF(circ_switch=1,Debt!X59*-1,0)</f>
        <v>8322.3720773880668</v>
      </c>
      <c r="Y38" s="90">
        <f ca="1">IF(circ_switch=1,Debt!Y59*-1,0)</f>
        <v>2380.0291676144079</v>
      </c>
      <c r="Z38" s="90">
        <f ca="1">IF(circ_switch=1,Debt!Z59*-1,0)</f>
        <v>2241.7026860778442</v>
      </c>
      <c r="AA38" s="90">
        <f ca="1">IF(circ_switch=1,Debt!AA59*-1,0)</f>
        <v>2103.3762045412741</v>
      </c>
      <c r="AF38" s="81"/>
    </row>
    <row r="39" spans="1:32" ht="15" customHeight="1" x14ac:dyDescent="0.45">
      <c r="A39" s="96"/>
      <c r="B39" t="s">
        <v>93</v>
      </c>
      <c r="C39" t="s">
        <v>99</v>
      </c>
      <c r="D39" s="67">
        <f>'Assumptions and Outputs'!D32</f>
        <v>0.6</v>
      </c>
      <c r="F39" s="90">
        <f>F46*-1*$D$39</f>
        <v>0</v>
      </c>
      <c r="G39" s="90">
        <f t="shared" ref="G39:K39" si="49">G46*-1*$D$39</f>
        <v>0</v>
      </c>
      <c r="H39" s="90">
        <f t="shared" si="49"/>
        <v>13498.368</v>
      </c>
      <c r="I39" s="90">
        <f t="shared" si="49"/>
        <v>14038.302720000002</v>
      </c>
      <c r="J39" s="90">
        <f t="shared" si="49"/>
        <v>14599.834828800003</v>
      </c>
      <c r="K39" s="90">
        <f t="shared" si="49"/>
        <v>15183.828221952004</v>
      </c>
      <c r="L39" s="90">
        <f t="shared" ref="L39:AA39" si="50">L46*-1*$D$39</f>
        <v>15791.181350830084</v>
      </c>
      <c r="M39" s="90">
        <f t="shared" si="50"/>
        <v>16422.828604863291</v>
      </c>
      <c r="N39" s="90">
        <f t="shared" si="50"/>
        <v>17079.741749057823</v>
      </c>
      <c r="O39" s="90">
        <f t="shared" si="50"/>
        <v>17762.931419020133</v>
      </c>
      <c r="P39" s="90">
        <f t="shared" si="50"/>
        <v>18473.448675780943</v>
      </c>
      <c r="Q39" s="90">
        <f t="shared" si="50"/>
        <v>19212.386622812181</v>
      </c>
      <c r="R39" s="90">
        <f t="shared" si="50"/>
        <v>19980.882087724665</v>
      </c>
      <c r="S39" s="90">
        <f t="shared" si="50"/>
        <v>20780.117371233653</v>
      </c>
      <c r="T39" s="90">
        <f t="shared" si="50"/>
        <v>21611.322066083001</v>
      </c>
      <c r="U39" s="90">
        <f t="shared" si="50"/>
        <v>22475.774948726321</v>
      </c>
      <c r="V39" s="90">
        <f t="shared" si="50"/>
        <v>23374.805946675377</v>
      </c>
      <c r="W39" s="90">
        <f t="shared" si="50"/>
        <v>24309.798184542389</v>
      </c>
      <c r="X39" s="90">
        <f t="shared" si="50"/>
        <v>25282.190111924087</v>
      </c>
      <c r="Y39" s="90">
        <f t="shared" si="50"/>
        <v>26293.477716401048</v>
      </c>
      <c r="Z39" s="90">
        <f t="shared" si="50"/>
        <v>27345.216825057094</v>
      </c>
      <c r="AA39" s="90">
        <f t="shared" si="50"/>
        <v>28439.025498059375</v>
      </c>
    </row>
    <row r="40" spans="1:32" ht="15" customHeight="1" x14ac:dyDescent="0.45">
      <c r="A40" s="82"/>
      <c r="B40" t="s">
        <v>94</v>
      </c>
      <c r="C40"/>
      <c r="D40"/>
      <c r="F40" s="87">
        <f ca="1">SUM(F38:F39)</f>
        <v>0</v>
      </c>
      <c r="G40" s="87">
        <f t="shared" ref="G40:K40" ca="1" si="51">SUM(G38:G39)</f>
        <v>0</v>
      </c>
      <c r="H40" s="87">
        <f t="shared" ca="1" si="51"/>
        <v>19234.848557839854</v>
      </c>
      <c r="I40" s="87">
        <f t="shared" ca="1" si="51"/>
        <v>19774.783277839859</v>
      </c>
      <c r="J40" s="87">
        <f t="shared" ca="1" si="51"/>
        <v>27888.941278536251</v>
      </c>
      <c r="K40" s="87">
        <f t="shared" ca="1" si="51"/>
        <v>28118.167930806238</v>
      </c>
      <c r="L40" s="87">
        <f t="shared" ref="L40:AA40" ca="1" si="52">SUM(L38:L39)</f>
        <v>28370.754318802305</v>
      </c>
      <c r="M40" s="87">
        <f t="shared" ca="1" si="52"/>
        <v>28647.634831953503</v>
      </c>
      <c r="N40" s="87">
        <f t="shared" ca="1" si="52"/>
        <v>28949.781235266022</v>
      </c>
      <c r="O40" s="87">
        <f t="shared" ca="1" si="52"/>
        <v>29278.204164346324</v>
      </c>
      <c r="P40" s="87">
        <f t="shared" ca="1" si="52"/>
        <v>29633.954680225121</v>
      </c>
      <c r="Q40" s="87">
        <f t="shared" ca="1" si="52"/>
        <v>30018.12588637435</v>
      </c>
      <c r="R40" s="87">
        <f t="shared" ca="1" si="52"/>
        <v>30431.854610404822</v>
      </c>
      <c r="S40" s="87">
        <f t="shared" ca="1" si="52"/>
        <v>30876.323153031797</v>
      </c>
      <c r="T40" s="87">
        <f t="shared" ca="1" si="52"/>
        <v>31352.761106999133</v>
      </c>
      <c r="U40" s="87">
        <f t="shared" ca="1" si="52"/>
        <v>31862.447248760443</v>
      </c>
      <c r="V40" s="87">
        <f t="shared" ca="1" si="52"/>
        <v>32406.711505827487</v>
      </c>
      <c r="W40" s="87">
        <f t="shared" ca="1" si="52"/>
        <v>32986.93700281249</v>
      </c>
      <c r="X40" s="87">
        <f t="shared" ca="1" si="52"/>
        <v>33604.562189312157</v>
      </c>
      <c r="Y40" s="87">
        <f t="shared" ca="1" si="52"/>
        <v>28673.506884015456</v>
      </c>
      <c r="Z40" s="87">
        <f t="shared" ca="1" si="52"/>
        <v>29586.91951113494</v>
      </c>
      <c r="AA40" s="87">
        <f t="shared" ca="1" si="52"/>
        <v>30542.401702600648</v>
      </c>
    </row>
    <row r="41" spans="1:32" ht="15" customHeight="1" x14ac:dyDescent="0.45">
      <c r="A41" s="82"/>
      <c r="B41"/>
      <c r="C41"/>
      <c r="D41"/>
    </row>
    <row r="42" spans="1:32" ht="15" customHeight="1" x14ac:dyDescent="0.45">
      <c r="A42" s="82"/>
      <c r="B42" t="s">
        <v>89</v>
      </c>
      <c r="C42"/>
      <c r="D42"/>
      <c r="F42">
        <f ca="1">F36+F40</f>
        <v>0</v>
      </c>
      <c r="G42">
        <f t="shared" ref="G42:K42" ca="1" si="53">G36+G40</f>
        <v>0</v>
      </c>
      <c r="H42">
        <f t="shared" ca="1" si="53"/>
        <v>42382.209960719854</v>
      </c>
      <c r="I42">
        <f t="shared" ca="1" si="53"/>
        <v>49866.353101583867</v>
      </c>
      <c r="J42">
        <f t="shared" ca="1" si="53"/>
        <v>59184.173895230022</v>
      </c>
      <c r="K42">
        <f t="shared" ca="1" si="53"/>
        <v>60665.209852167754</v>
      </c>
      <c r="L42">
        <f t="shared" ref="L42:AA42" ca="1" si="54">L36+L40</f>
        <v>62219.677917018285</v>
      </c>
      <c r="M42">
        <f t="shared" ca="1" si="54"/>
        <v>63850.515374098126</v>
      </c>
      <c r="N42">
        <f t="shared" ca="1" si="54"/>
        <v>65560.77699909643</v>
      </c>
      <c r="O42">
        <f t="shared" ca="1" si="54"/>
        <v>67353.639758729958</v>
      </c>
      <c r="P42">
        <f t="shared" ca="1" si="54"/>
        <v>69232.407698384093</v>
      </c>
      <c r="Q42">
        <f t="shared" ca="1" si="54"/>
        <v>71200.517025259687</v>
      </c>
      <c r="R42">
        <f t="shared" ca="1" si="54"/>
        <v>73261.541394845583</v>
      </c>
      <c r="S42">
        <f t="shared" ca="1" si="54"/>
        <v>75419.197408850174</v>
      </c>
      <c r="T42">
        <f t="shared" ca="1" si="54"/>
        <v>77677.350333050243</v>
      </c>
      <c r="U42">
        <f t="shared" ca="1" si="54"/>
        <v>80040.020043853598</v>
      </c>
      <c r="V42">
        <f t="shared" ca="1" si="54"/>
        <v>82511.387212724367</v>
      </c>
      <c r="W42">
        <f t="shared" ca="1" si="54"/>
        <v>85095.799737985246</v>
      </c>
      <c r="X42">
        <f t="shared" ca="1" si="54"/>
        <v>87797.779433891832</v>
      </c>
      <c r="Y42">
        <f t="shared" ca="1" si="54"/>
        <v>85034.452818378311</v>
      </c>
      <c r="Z42">
        <f t="shared" ca="1" si="54"/>
        <v>88202.303282872308</v>
      </c>
      <c r="AA42">
        <f t="shared" ca="1" si="54"/>
        <v>91502.400825207515</v>
      </c>
    </row>
    <row r="43" spans="1:32" ht="15" customHeight="1" x14ac:dyDescent="0.45">
      <c r="A43" s="82"/>
      <c r="B43"/>
      <c r="C43"/>
      <c r="D43"/>
    </row>
    <row r="44" spans="1:32" ht="15" customHeight="1" x14ac:dyDescent="0.45">
      <c r="A44" s="82" t="s">
        <v>19</v>
      </c>
      <c r="B44"/>
      <c r="C44"/>
      <c r="D44"/>
    </row>
    <row r="45" spans="1:32" ht="15" customHeight="1" x14ac:dyDescent="0.45">
      <c r="A45" s="82"/>
      <c r="B45" t="s">
        <v>100</v>
      </c>
      <c r="C45" t="s">
        <v>305</v>
      </c>
      <c r="D45" s="67">
        <f>'Assumptions and Outputs'!D40</f>
        <v>0.15</v>
      </c>
      <c r="F45">
        <f>$D$45*F36*-1</f>
        <v>0</v>
      </c>
      <c r="G45">
        <f t="shared" ref="G45:K45" si="55">$D$45*G36*-1</f>
        <v>0</v>
      </c>
      <c r="H45">
        <f t="shared" si="55"/>
        <v>-3472.1042104319999</v>
      </c>
      <c r="I45">
        <f t="shared" si="55"/>
        <v>-4513.7354735616009</v>
      </c>
      <c r="J45">
        <f t="shared" si="55"/>
        <v>-4694.2848925040653</v>
      </c>
      <c r="K45">
        <f t="shared" si="55"/>
        <v>-4882.0562882042277</v>
      </c>
      <c r="L45">
        <f t="shared" ref="L45:AA45" si="56">$D$45*L36*-1</f>
        <v>-5077.3385397323973</v>
      </c>
      <c r="M45">
        <f t="shared" si="56"/>
        <v>-5280.4320813216937</v>
      </c>
      <c r="N45">
        <f t="shared" si="56"/>
        <v>-5491.6493645745613</v>
      </c>
      <c r="O45">
        <f t="shared" si="56"/>
        <v>-5711.3153391575443</v>
      </c>
      <c r="P45">
        <f t="shared" si="56"/>
        <v>-5939.7679527238461</v>
      </c>
      <c r="Q45">
        <f t="shared" si="56"/>
        <v>-6177.3586708328003</v>
      </c>
      <c r="R45">
        <f t="shared" si="56"/>
        <v>-6424.4530176661128</v>
      </c>
      <c r="S45">
        <f t="shared" si="56"/>
        <v>-6681.4311383727572</v>
      </c>
      <c r="T45">
        <f t="shared" si="56"/>
        <v>-6948.6883839076672</v>
      </c>
      <c r="U45">
        <f t="shared" si="56"/>
        <v>-7226.6359192639729</v>
      </c>
      <c r="V45">
        <f t="shared" si="56"/>
        <v>-7515.7013560345331</v>
      </c>
      <c r="W45">
        <f t="shared" si="56"/>
        <v>-7816.3294102759137</v>
      </c>
      <c r="X45">
        <f t="shared" si="56"/>
        <v>-8128.9825866869505</v>
      </c>
      <c r="Y45">
        <f t="shared" si="56"/>
        <v>-8454.1418901544293</v>
      </c>
      <c r="Z45">
        <f t="shared" si="56"/>
        <v>-8792.3075657606059</v>
      </c>
      <c r="AA45">
        <f t="shared" si="56"/>
        <v>-9143.9998683910289</v>
      </c>
    </row>
    <row r="46" spans="1:32" ht="15" customHeight="1" x14ac:dyDescent="0.45">
      <c r="A46" s="82"/>
      <c r="B46" t="s">
        <v>96</v>
      </c>
      <c r="C46" t="s">
        <v>105</v>
      </c>
      <c r="D46">
        <f>'Assumptions and Outputs'!D41</f>
        <v>20000</v>
      </c>
      <c r="F46">
        <f>$D$46*F10*F6*-1</f>
        <v>0</v>
      </c>
      <c r="G46">
        <f t="shared" ref="G46:K46" si="57">$D$46*G10*G6*-1</f>
        <v>0</v>
      </c>
      <c r="H46">
        <f t="shared" si="57"/>
        <v>-22497.280000000002</v>
      </c>
      <c r="I46">
        <f t="shared" si="57"/>
        <v>-23397.171200000004</v>
      </c>
      <c r="J46">
        <f t="shared" si="57"/>
        <v>-24333.058048000006</v>
      </c>
      <c r="K46">
        <f t="shared" si="57"/>
        <v>-25306.380369920007</v>
      </c>
      <c r="L46">
        <f t="shared" ref="L46:AA46" si="58">$D$46*L10*L6*-1</f>
        <v>-26318.635584716809</v>
      </c>
      <c r="M46">
        <f t="shared" si="58"/>
        <v>-27371.381008105483</v>
      </c>
      <c r="N46">
        <f t="shared" si="58"/>
        <v>-28466.236248429705</v>
      </c>
      <c r="O46">
        <f t="shared" si="58"/>
        <v>-29604.885698366892</v>
      </c>
      <c r="P46">
        <f t="shared" si="58"/>
        <v>-30789.081126301571</v>
      </c>
      <c r="Q46">
        <f t="shared" si="58"/>
        <v>-32020.644371353636</v>
      </c>
      <c r="R46">
        <f t="shared" si="58"/>
        <v>-33301.470146207779</v>
      </c>
      <c r="S46">
        <f t="shared" si="58"/>
        <v>-34633.528952056091</v>
      </c>
      <c r="T46">
        <f t="shared" si="58"/>
        <v>-36018.870110138334</v>
      </c>
      <c r="U46">
        <f t="shared" si="58"/>
        <v>-37459.624914543871</v>
      </c>
      <c r="V46">
        <f t="shared" si="58"/>
        <v>-38958.009911125628</v>
      </c>
      <c r="W46">
        <f t="shared" si="58"/>
        <v>-40516.33030757065</v>
      </c>
      <c r="X46">
        <f t="shared" si="58"/>
        <v>-42136.98351987348</v>
      </c>
      <c r="Y46">
        <f t="shared" si="58"/>
        <v>-43822.462860668413</v>
      </c>
      <c r="Z46">
        <f t="shared" si="58"/>
        <v>-45575.361375095155</v>
      </c>
      <c r="AA46">
        <f t="shared" si="58"/>
        <v>-47398.375830098958</v>
      </c>
    </row>
    <row r="47" spans="1:32" ht="15" customHeight="1" x14ac:dyDescent="0.45">
      <c r="A47" s="82"/>
      <c r="B47" t="s">
        <v>106</v>
      </c>
      <c r="C47"/>
      <c r="D47"/>
      <c r="F47" s="87">
        <f>SUM(F45:F46)</f>
        <v>0</v>
      </c>
      <c r="G47" s="87">
        <f t="shared" ref="G47:K47" si="59">SUM(G45:G46)</f>
        <v>0</v>
      </c>
      <c r="H47" s="87">
        <f t="shared" si="59"/>
        <v>-25969.384210432003</v>
      </c>
      <c r="I47" s="87">
        <f t="shared" si="59"/>
        <v>-27910.906673561607</v>
      </c>
      <c r="J47" s="87">
        <f t="shared" si="59"/>
        <v>-29027.342940504073</v>
      </c>
      <c r="K47" s="87">
        <f t="shared" si="59"/>
        <v>-30188.436658124236</v>
      </c>
      <c r="L47" s="87">
        <f t="shared" ref="L47:AA47" si="60">SUM(L45:L46)</f>
        <v>-31395.974124449207</v>
      </c>
      <c r="M47" s="87">
        <f t="shared" si="60"/>
        <v>-32651.813089427178</v>
      </c>
      <c r="N47" s="87">
        <f t="shared" si="60"/>
        <v>-33957.88561300427</v>
      </c>
      <c r="O47" s="87">
        <f t="shared" si="60"/>
        <v>-35316.201037524435</v>
      </c>
      <c r="P47" s="87">
        <f t="shared" si="60"/>
        <v>-36728.849079025415</v>
      </c>
      <c r="Q47" s="87">
        <f t="shared" si="60"/>
        <v>-38198.003042186436</v>
      </c>
      <c r="R47" s="87">
        <f t="shared" si="60"/>
        <v>-39725.923163873893</v>
      </c>
      <c r="S47" s="87">
        <f t="shared" si="60"/>
        <v>-41314.960090428845</v>
      </c>
      <c r="T47" s="87">
        <f t="shared" si="60"/>
        <v>-42967.558494046003</v>
      </c>
      <c r="U47" s="87">
        <f t="shared" si="60"/>
        <v>-44686.260833807843</v>
      </c>
      <c r="V47" s="87">
        <f t="shared" si="60"/>
        <v>-46473.711267160164</v>
      </c>
      <c r="W47" s="87">
        <f t="shared" si="60"/>
        <v>-48332.65971784656</v>
      </c>
      <c r="X47" s="87">
        <f t="shared" si="60"/>
        <v>-50265.96610656043</v>
      </c>
      <c r="Y47" s="87">
        <f t="shared" si="60"/>
        <v>-52276.604750822844</v>
      </c>
      <c r="Z47" s="87">
        <f t="shared" si="60"/>
        <v>-54367.668940855758</v>
      </c>
      <c r="AA47" s="87">
        <f t="shared" si="60"/>
        <v>-56542.375698489988</v>
      </c>
    </row>
    <row r="48" spans="1:32" ht="15" customHeight="1" x14ac:dyDescent="0.45">
      <c r="A48" s="82"/>
      <c r="B48"/>
      <c r="C48"/>
      <c r="D48"/>
    </row>
    <row r="49" spans="1:28" ht="15" customHeight="1" x14ac:dyDescent="0.45">
      <c r="A49" s="82" t="s">
        <v>107</v>
      </c>
      <c r="B49"/>
      <c r="C49"/>
      <c r="D49"/>
    </row>
    <row r="50" spans="1:28" ht="15" customHeight="1" x14ac:dyDescent="0.45">
      <c r="A50" s="82"/>
      <c r="B50" t="s">
        <v>108</v>
      </c>
      <c r="C50" s="77"/>
      <c r="D50"/>
      <c r="F50">
        <f ca="1">F42+F47</f>
        <v>0</v>
      </c>
      <c r="G50">
        <f t="shared" ref="G50:K50" ca="1" si="61">G42+G47</f>
        <v>0</v>
      </c>
      <c r="H50">
        <f t="shared" ca="1" si="61"/>
        <v>16412.825750287851</v>
      </c>
      <c r="I50">
        <f t="shared" ca="1" si="61"/>
        <v>21955.44642802226</v>
      </c>
      <c r="J50">
        <f t="shared" ca="1" si="61"/>
        <v>30156.830954725949</v>
      </c>
      <c r="K50">
        <f t="shared" ca="1" si="61"/>
        <v>30476.773194043519</v>
      </c>
      <c r="L50">
        <f t="shared" ref="L50:AA50" ca="1" si="62">L42+L47</f>
        <v>30823.703792569078</v>
      </c>
      <c r="M50">
        <f t="shared" ca="1" si="62"/>
        <v>31198.702284670948</v>
      </c>
      <c r="N50">
        <f t="shared" ca="1" si="62"/>
        <v>31602.89138609216</v>
      </c>
      <c r="O50">
        <f t="shared" ca="1" si="62"/>
        <v>32037.438721205523</v>
      </c>
      <c r="P50">
        <f t="shared" ca="1" si="62"/>
        <v>32503.558619358679</v>
      </c>
      <c r="Q50">
        <f t="shared" ca="1" si="62"/>
        <v>33002.513983073251</v>
      </c>
      <c r="R50">
        <f t="shared" ca="1" si="62"/>
        <v>33535.61823097169</v>
      </c>
      <c r="S50">
        <f t="shared" ca="1" si="62"/>
        <v>34104.237318421328</v>
      </c>
      <c r="T50">
        <f t="shared" ca="1" si="62"/>
        <v>34709.79183900424</v>
      </c>
      <c r="U50">
        <f t="shared" ca="1" si="62"/>
        <v>35353.759210045755</v>
      </c>
      <c r="V50">
        <f t="shared" ca="1" si="62"/>
        <v>36037.675945564202</v>
      </c>
      <c r="W50">
        <f t="shared" ca="1" si="62"/>
        <v>36763.140020138686</v>
      </c>
      <c r="X50">
        <f t="shared" ca="1" si="62"/>
        <v>37531.813327331402</v>
      </c>
      <c r="Y50">
        <f t="shared" ca="1" si="62"/>
        <v>32757.848067555467</v>
      </c>
      <c r="Z50">
        <f t="shared" ca="1" si="62"/>
        <v>33834.63434201655</v>
      </c>
      <c r="AA50">
        <f t="shared" ca="1" si="62"/>
        <v>34960.025126717526</v>
      </c>
    </row>
    <row r="51" spans="1:28" ht="15" customHeight="1" x14ac:dyDescent="0.45">
      <c r="A51" s="82"/>
      <c r="B51" t="s">
        <v>109</v>
      </c>
      <c r="C51" s="77"/>
      <c r="D51"/>
      <c r="F51" s="88" t="str">
        <f>IFERROR(F36/F22,"na")</f>
        <v>na</v>
      </c>
      <c r="G51" s="88" t="str">
        <f t="shared" ref="G51:K51" si="63">IFERROR(G36/G22,"na")</f>
        <v>na</v>
      </c>
      <c r="H51" s="88">
        <f t="shared" si="63"/>
        <v>4.4432128000000001E-2</v>
      </c>
      <c r="I51" s="88">
        <f t="shared" si="63"/>
        <v>4.6209413120000008E-2</v>
      </c>
      <c r="J51" s="88">
        <f t="shared" si="63"/>
        <v>4.8057789644800016E-2</v>
      </c>
      <c r="K51" s="88">
        <f t="shared" si="63"/>
        <v>4.998010123059201E-2</v>
      </c>
      <c r="L51" s="88">
        <f t="shared" ref="L51:AA51" si="64">IFERROR(L36/L22,"na")</f>
        <v>5.1979305279815695E-2</v>
      </c>
      <c r="M51" s="88">
        <f t="shared" si="64"/>
        <v>5.4058477491008325E-2</v>
      </c>
      <c r="N51" s="88">
        <f t="shared" si="64"/>
        <v>5.6220816590648669E-2</v>
      </c>
      <c r="O51" s="88">
        <f t="shared" si="64"/>
        <v>5.8469649254274614E-2</v>
      </c>
      <c r="P51" s="88">
        <f t="shared" si="64"/>
        <v>6.0808435224445595E-2</v>
      </c>
      <c r="Q51" s="88">
        <f t="shared" si="64"/>
        <v>6.3240772633423425E-2</v>
      </c>
      <c r="R51" s="88">
        <f t="shared" si="64"/>
        <v>6.5770403538760375E-2</v>
      </c>
      <c r="S51" s="88">
        <f t="shared" si="64"/>
        <v>6.8401219680310779E-2</v>
      </c>
      <c r="T51" s="88">
        <f t="shared" si="64"/>
        <v>7.1137268467523218E-2</v>
      </c>
      <c r="U51" s="88">
        <f t="shared" si="64"/>
        <v>7.398275920622413E-2</v>
      </c>
      <c r="V51" s="88">
        <f t="shared" si="64"/>
        <v>7.694206957447311E-2</v>
      </c>
      <c r="W51" s="88">
        <f t="shared" si="64"/>
        <v>8.0019752357452026E-2</v>
      </c>
      <c r="X51" s="88">
        <f t="shared" si="64"/>
        <v>8.3220542451750118E-2</v>
      </c>
      <c r="Y51" s="88">
        <f t="shared" si="64"/>
        <v>8.6549364149820118E-2</v>
      </c>
      <c r="Z51" s="88">
        <f t="shared" si="64"/>
        <v>9.0011338715812919E-2</v>
      </c>
      <c r="AA51" s="88">
        <f t="shared" si="64"/>
        <v>9.3611792264445437E-2</v>
      </c>
    </row>
    <row r="52" spans="1:28" ht="15" customHeight="1" x14ac:dyDescent="0.45">
      <c r="A52" s="82"/>
      <c r="B52" t="s">
        <v>110</v>
      </c>
      <c r="C52" s="77"/>
      <c r="D52"/>
      <c r="F52" s="67" t="str">
        <f ca="1">IFERROR(F50/F42,"na")</f>
        <v>na</v>
      </c>
      <c r="G52" s="67" t="str">
        <f t="shared" ref="G52:K52" ca="1" si="65">IFERROR(G50/G42,"na")</f>
        <v>na</v>
      </c>
      <c r="H52" s="67">
        <f t="shared" ca="1" si="65"/>
        <v>0.387257431018802</v>
      </c>
      <c r="I52" s="67">
        <f t="shared" ca="1" si="65"/>
        <v>0.44028578515249206</v>
      </c>
      <c r="J52" s="67">
        <f t="shared" ca="1" si="65"/>
        <v>0.50954214564370992</v>
      </c>
      <c r="K52" s="67">
        <f t="shared" ca="1" si="65"/>
        <v>0.50237645708818879</v>
      </c>
      <c r="L52" s="67">
        <f t="shared" ref="L52:AA52" ca="1" si="66">IFERROR(L50/L42,"na")</f>
        <v>0.49540121107149288</v>
      </c>
      <c r="M52" s="67">
        <f t="shared" ca="1" si="66"/>
        <v>0.48862099392430508</v>
      </c>
      <c r="N52" s="67">
        <f t="shared" ca="1" si="66"/>
        <v>0.48203961015482955</v>
      </c>
      <c r="O52" s="67">
        <f t="shared" ca="1" si="66"/>
        <v>0.47566009551923333</v>
      </c>
      <c r="P52" s="67">
        <f t="shared" ca="1" si="66"/>
        <v>0.46948473554412179</v>
      </c>
      <c r="Q52" s="67">
        <f t="shared" ca="1" si="66"/>
        <v>0.46351508896157323</v>
      </c>
      <c r="R52" s="67">
        <f t="shared" ca="1" si="66"/>
        <v>0.45775201548422695</v>
      </c>
      <c r="S52" s="67">
        <f t="shared" ca="1" si="66"/>
        <v>0.45219570732821557</v>
      </c>
      <c r="T52" s="67">
        <f t="shared" ca="1" si="66"/>
        <v>0.44684572388453214</v>
      </c>
      <c r="U52" s="67">
        <f t="shared" ca="1" si="66"/>
        <v>0.4417010289437156</v>
      </c>
      <c r="V52" s="67">
        <f t="shared" ca="1" si="66"/>
        <v>0.43676002989326435</v>
      </c>
      <c r="W52" s="67">
        <f t="shared" ca="1" si="66"/>
        <v>0.43202061833056932</v>
      </c>
      <c r="X52" s="67">
        <f t="shared" ca="1" si="66"/>
        <v>0.42748021156493299</v>
      </c>
      <c r="Y52" s="67">
        <f t="shared" ca="1" si="66"/>
        <v>0.38523030350441184</v>
      </c>
      <c r="Z52" s="67">
        <f t="shared" ca="1" si="66"/>
        <v>0.38360261674239948</v>
      </c>
      <c r="AA52" s="67">
        <f t="shared" ca="1" si="66"/>
        <v>0.38206675247242883</v>
      </c>
      <c r="AB52" s="67"/>
    </row>
    <row r="53" spans="1:28" ht="15" customHeight="1" x14ac:dyDescent="0.45">
      <c r="A53" s="82"/>
      <c r="B53"/>
      <c r="C53" s="77"/>
      <c r="D53"/>
      <c r="L53" t="str">
        <f t="shared" ref="L53:L57" ca="1" si="67">IF(ISBLANK(K53),"",_xlfn.FORMULATEXT(K53))</f>
        <v/>
      </c>
    </row>
    <row r="54" spans="1:28" ht="15" customHeight="1" x14ac:dyDescent="0.45">
      <c r="A54" s="59" t="s">
        <v>43</v>
      </c>
      <c r="B54"/>
      <c r="C54" s="77"/>
      <c r="D54"/>
      <c r="F54" s="88"/>
      <c r="G54" s="88"/>
      <c r="H54" s="88"/>
      <c r="I54" s="88"/>
      <c r="J54" s="88"/>
      <c r="K54" s="88"/>
      <c r="L54" s="88" t="str">
        <f t="shared" ca="1" si="67"/>
        <v/>
      </c>
      <c r="M54" s="88"/>
      <c r="N54" s="88"/>
      <c r="O54" s="88"/>
      <c r="P54" s="88"/>
      <c r="Q54" s="88"/>
      <c r="R54" s="88"/>
      <c r="S54" s="88"/>
      <c r="T54" s="88"/>
      <c r="U54" s="88"/>
      <c r="V54" s="88"/>
    </row>
    <row r="55" spans="1:28" ht="15" customHeight="1" x14ac:dyDescent="0.45">
      <c r="A55" s="82"/>
      <c r="B55"/>
      <c r="C55" s="77"/>
      <c r="D55"/>
      <c r="L55" t="str">
        <f t="shared" ca="1" si="67"/>
        <v/>
      </c>
    </row>
    <row r="56" spans="1:28" ht="15" customHeight="1" x14ac:dyDescent="0.45">
      <c r="A56" s="82"/>
      <c r="B56"/>
      <c r="C56" s="77"/>
      <c r="D56"/>
      <c r="L56" t="str">
        <f t="shared" ca="1" si="67"/>
        <v/>
      </c>
    </row>
    <row r="57" spans="1:28" ht="15" customHeight="1" x14ac:dyDescent="0.45">
      <c r="A57" s="82"/>
      <c r="B57"/>
      <c r="C57" s="77"/>
      <c r="D57"/>
      <c r="L57" t="str">
        <f t="shared" ca="1" si="67"/>
        <v/>
      </c>
    </row>
    <row r="58" spans="1:28" ht="15" customHeight="1" x14ac:dyDescent="0.45">
      <c r="A58" s="82"/>
      <c r="B58"/>
      <c r="C58" s="77"/>
      <c r="D58"/>
    </row>
    <row r="59" spans="1:28" ht="15" customHeight="1" x14ac:dyDescent="0.45">
      <c r="A59" s="82"/>
      <c r="B59"/>
      <c r="C59" s="77"/>
      <c r="D59"/>
    </row>
    <row r="60" spans="1:28" ht="15" customHeight="1" x14ac:dyDescent="0.45">
      <c r="A60" s="82"/>
      <c r="B60"/>
      <c r="C60" s="77"/>
      <c r="D60"/>
    </row>
    <row r="61" spans="1:28" ht="15" customHeight="1" x14ac:dyDescent="0.45">
      <c r="A61" s="82"/>
      <c r="B61"/>
      <c r="C61" s="77"/>
      <c r="D61"/>
    </row>
    <row r="62" spans="1:28" ht="15" customHeight="1" x14ac:dyDescent="0.45">
      <c r="A62" s="82"/>
      <c r="B62"/>
      <c r="C62" s="77"/>
      <c r="D62"/>
    </row>
    <row r="63" spans="1:28" ht="15" customHeight="1" x14ac:dyDescent="0.45">
      <c r="A63" s="82"/>
      <c r="B63"/>
      <c r="C63" s="77"/>
      <c r="D63"/>
    </row>
    <row r="64" spans="1:28" ht="15" customHeight="1" x14ac:dyDescent="0.45">
      <c r="A64" s="82"/>
      <c r="B64"/>
      <c r="C64" s="77"/>
      <c r="D64"/>
    </row>
    <row r="65" spans="1:4" ht="15" customHeight="1" x14ac:dyDescent="0.45">
      <c r="A65" s="82"/>
      <c r="B65"/>
      <c r="C65" s="77"/>
      <c r="D65"/>
    </row>
    <row r="66" spans="1:4" ht="15" customHeight="1" x14ac:dyDescent="0.45">
      <c r="A66" s="82"/>
      <c r="B66"/>
      <c r="C66" s="77"/>
      <c r="D66"/>
    </row>
    <row r="67" spans="1:4" ht="15" customHeight="1" x14ac:dyDescent="0.45">
      <c r="A67" s="82"/>
      <c r="B67"/>
      <c r="C67" s="77"/>
      <c r="D67"/>
    </row>
    <row r="68" spans="1:4" ht="15" customHeight="1" x14ac:dyDescent="0.45">
      <c r="A68" s="82"/>
      <c r="B68"/>
      <c r="C68" s="77"/>
      <c r="D68"/>
    </row>
    <row r="69" spans="1:4" ht="15" customHeight="1" x14ac:dyDescent="0.45">
      <c r="A69" s="82"/>
      <c r="B69"/>
      <c r="C69" s="77"/>
      <c r="D69"/>
    </row>
    <row r="70" spans="1:4" ht="15" customHeight="1" x14ac:dyDescent="0.45">
      <c r="A70" s="82"/>
      <c r="B70"/>
      <c r="C70" s="77"/>
      <c r="D70"/>
    </row>
    <row r="71" spans="1:4" ht="15" customHeight="1" x14ac:dyDescent="0.45">
      <c r="A71" s="82"/>
      <c r="B71"/>
      <c r="C71" s="77"/>
      <c r="D71"/>
    </row>
    <row r="72" spans="1:4" ht="15" customHeight="1" x14ac:dyDescent="0.45">
      <c r="A72" s="82"/>
      <c r="B72"/>
      <c r="C72" s="77"/>
      <c r="D72"/>
    </row>
    <row r="73" spans="1:4" ht="15" customHeight="1" x14ac:dyDescent="0.45">
      <c r="A73" s="82"/>
      <c r="B73"/>
      <c r="C73" s="77"/>
      <c r="D73"/>
    </row>
    <row r="74" spans="1:4" ht="15" customHeight="1" x14ac:dyDescent="0.45">
      <c r="A74" s="82"/>
      <c r="B74"/>
      <c r="C74" s="77"/>
      <c r="D74"/>
    </row>
    <row r="75" spans="1:4" ht="15" customHeight="1" x14ac:dyDescent="0.45">
      <c r="A75" s="82"/>
      <c r="B75"/>
      <c r="C75" s="77"/>
      <c r="D75"/>
    </row>
    <row r="76" spans="1:4" ht="15" customHeight="1" x14ac:dyDescent="0.45">
      <c r="A76" s="82"/>
      <c r="B76"/>
      <c r="C76" s="77"/>
      <c r="D76"/>
    </row>
    <row r="77" spans="1:4" ht="15" customHeight="1" x14ac:dyDescent="0.45">
      <c r="A77" s="82"/>
      <c r="B77"/>
      <c r="C77" s="77"/>
      <c r="D77"/>
    </row>
    <row r="78" spans="1:4" ht="15" customHeight="1" x14ac:dyDescent="0.45">
      <c r="A78" s="82"/>
      <c r="B78"/>
      <c r="C78" s="77"/>
      <c r="D78"/>
    </row>
    <row r="79" spans="1:4" ht="15" customHeight="1" x14ac:dyDescent="0.45">
      <c r="A79" s="82"/>
      <c r="B79"/>
      <c r="C79" s="77"/>
      <c r="D79"/>
    </row>
    <row r="80" spans="1:4" ht="15" customHeight="1" x14ac:dyDescent="0.45">
      <c r="A80" s="82"/>
      <c r="B80"/>
      <c r="C80" s="77"/>
      <c r="D80"/>
    </row>
    <row r="81" spans="1:4" ht="15" customHeight="1" x14ac:dyDescent="0.45">
      <c r="A81" s="82"/>
      <c r="B81"/>
      <c r="C81" s="77"/>
      <c r="D81"/>
    </row>
    <row r="82" spans="1:4" ht="15" customHeight="1" x14ac:dyDescent="0.45">
      <c r="A82" s="82"/>
      <c r="B82"/>
      <c r="C82" s="77"/>
      <c r="D82"/>
    </row>
    <row r="83" spans="1:4" ht="15" customHeight="1" x14ac:dyDescent="0.45">
      <c r="A83" s="82"/>
      <c r="B83"/>
      <c r="C83" s="77"/>
      <c r="D83"/>
    </row>
    <row r="84" spans="1:4" ht="15" customHeight="1" x14ac:dyDescent="0.45">
      <c r="A84" s="82"/>
      <c r="B84"/>
      <c r="C84" s="77"/>
      <c r="D84"/>
    </row>
    <row r="85" spans="1:4" ht="15" customHeight="1" x14ac:dyDescent="0.45">
      <c r="A85" s="82"/>
      <c r="B85"/>
      <c r="C85" s="77"/>
      <c r="D85"/>
    </row>
    <row r="86" spans="1:4" ht="15" customHeight="1" x14ac:dyDescent="0.45">
      <c r="A86" s="82"/>
      <c r="B86"/>
      <c r="C86" s="77"/>
      <c r="D86"/>
    </row>
    <row r="87" spans="1:4" ht="15" customHeight="1" x14ac:dyDescent="0.45">
      <c r="A87" s="82"/>
      <c r="B87"/>
      <c r="C87" s="77"/>
      <c r="D87"/>
    </row>
    <row r="88" spans="1:4" ht="15" customHeight="1" x14ac:dyDescent="0.45">
      <c r="A88" s="82"/>
      <c r="B88"/>
      <c r="C88" s="77"/>
      <c r="D88"/>
    </row>
    <row r="89" spans="1:4" ht="15" customHeight="1" x14ac:dyDescent="0.45">
      <c r="A89" s="82"/>
      <c r="B89"/>
      <c r="C89" s="77"/>
      <c r="D89"/>
    </row>
    <row r="90" spans="1:4" ht="15" customHeight="1" x14ac:dyDescent="0.45">
      <c r="A90" s="82"/>
      <c r="B90"/>
      <c r="C90" s="77"/>
      <c r="D90"/>
    </row>
    <row r="91" spans="1:4" ht="15" customHeight="1" x14ac:dyDescent="0.45">
      <c r="A91" s="82"/>
      <c r="B91"/>
      <c r="C91" s="77"/>
      <c r="D91"/>
    </row>
    <row r="92" spans="1:4" ht="15" customHeight="1" x14ac:dyDescent="0.45">
      <c r="A92" s="82"/>
      <c r="B92"/>
      <c r="C92" s="77"/>
      <c r="D92"/>
    </row>
    <row r="93" spans="1:4" ht="15" customHeight="1" x14ac:dyDescent="0.45">
      <c r="A93" s="82"/>
      <c r="B93"/>
      <c r="C93" s="77"/>
      <c r="D93"/>
    </row>
    <row r="94" spans="1:4" ht="15" customHeight="1" x14ac:dyDescent="0.45">
      <c r="A94" s="82"/>
      <c r="B94"/>
      <c r="C94" s="77"/>
      <c r="D94"/>
    </row>
    <row r="95" spans="1:4" ht="15" customHeight="1" x14ac:dyDescent="0.45">
      <c r="A95" s="82"/>
      <c r="B95"/>
      <c r="C95" s="77"/>
      <c r="D95"/>
    </row>
    <row r="96" spans="1:4" ht="15" customHeight="1" x14ac:dyDescent="0.45">
      <c r="A96" s="82"/>
      <c r="B96"/>
      <c r="C96" s="77"/>
      <c r="D96"/>
    </row>
    <row r="97" spans="1:4" ht="15" customHeight="1" x14ac:dyDescent="0.45">
      <c r="A97" s="82"/>
      <c r="B97"/>
      <c r="C97" s="77"/>
      <c r="D97"/>
    </row>
    <row r="98" spans="1:4" ht="15" customHeight="1" x14ac:dyDescent="0.45">
      <c r="A98" s="82"/>
      <c r="B98"/>
      <c r="C98" s="77"/>
      <c r="D98"/>
    </row>
    <row r="99" spans="1:4" ht="15" customHeight="1" x14ac:dyDescent="0.45">
      <c r="A99" s="82"/>
      <c r="B99"/>
      <c r="C99" s="77"/>
      <c r="D99"/>
    </row>
    <row r="100" spans="1:4" ht="15" customHeight="1" x14ac:dyDescent="0.45">
      <c r="A100" s="82"/>
      <c r="B100"/>
      <c r="C100" s="77"/>
      <c r="D100"/>
    </row>
    <row r="101" spans="1:4" ht="15" customHeight="1" x14ac:dyDescent="0.45">
      <c r="A101" s="82"/>
      <c r="B101"/>
      <c r="C101" s="77"/>
      <c r="D101"/>
    </row>
    <row r="102" spans="1:4" ht="15" customHeight="1" x14ac:dyDescent="0.45">
      <c r="A102" s="82"/>
      <c r="B102"/>
      <c r="C102" s="77"/>
      <c r="D102"/>
    </row>
    <row r="103" spans="1:4" ht="15" customHeight="1" x14ac:dyDescent="0.45">
      <c r="A103" s="82"/>
      <c r="B103"/>
      <c r="C103" s="77"/>
      <c r="D103"/>
    </row>
    <row r="104" spans="1:4" ht="15" customHeight="1" x14ac:dyDescent="0.45">
      <c r="A104" s="82"/>
      <c r="B104"/>
      <c r="C104" s="77"/>
      <c r="D104"/>
    </row>
    <row r="105" spans="1:4" ht="15" customHeight="1" x14ac:dyDescent="0.45">
      <c r="A105" s="82"/>
      <c r="B105"/>
      <c r="C105" s="77"/>
      <c r="D105"/>
    </row>
    <row r="106" spans="1:4" ht="15" customHeight="1" x14ac:dyDescent="0.45">
      <c r="A106" s="82"/>
      <c r="B106"/>
      <c r="C106" s="77"/>
      <c r="D106"/>
    </row>
    <row r="107" spans="1:4" ht="15" customHeight="1" x14ac:dyDescent="0.45">
      <c r="A107" s="82"/>
      <c r="B107"/>
      <c r="C107" s="77"/>
      <c r="D107"/>
    </row>
    <row r="108" spans="1:4" ht="15" customHeight="1" x14ac:dyDescent="0.45">
      <c r="A108" s="82"/>
      <c r="B108"/>
      <c r="C108" s="77"/>
      <c r="D108"/>
    </row>
    <row r="109" spans="1:4" ht="15" customHeight="1" x14ac:dyDescent="0.45">
      <c r="A109" s="82"/>
      <c r="B109"/>
      <c r="C109" s="77"/>
      <c r="D109"/>
    </row>
    <row r="110" spans="1:4" ht="15" customHeight="1" x14ac:dyDescent="0.45">
      <c r="A110" s="82"/>
      <c r="B110"/>
      <c r="C110" s="77"/>
      <c r="D110"/>
    </row>
    <row r="111" spans="1:4" ht="15" customHeight="1" x14ac:dyDescent="0.45">
      <c r="A111" s="82"/>
      <c r="B111"/>
      <c r="C111" s="77"/>
      <c r="D111"/>
    </row>
    <row r="112" spans="1:4" ht="15" customHeight="1" x14ac:dyDescent="0.45">
      <c r="A112" s="82"/>
      <c r="B112"/>
      <c r="C112" s="77"/>
      <c r="D112"/>
    </row>
    <row r="113" spans="1:4" ht="15" customHeight="1" x14ac:dyDescent="0.45">
      <c r="A113" s="82"/>
      <c r="B113"/>
      <c r="C113" s="77"/>
      <c r="D113"/>
    </row>
    <row r="114" spans="1:4" ht="15" customHeight="1" x14ac:dyDescent="0.45">
      <c r="A114" s="82"/>
      <c r="B114"/>
      <c r="C114" s="77"/>
      <c r="D114"/>
    </row>
    <row r="115" spans="1:4" ht="15" customHeight="1" x14ac:dyDescent="0.45">
      <c r="A115" s="82"/>
      <c r="B115"/>
      <c r="C115" s="77"/>
      <c r="D115"/>
    </row>
    <row r="116" spans="1:4" ht="15" customHeight="1" x14ac:dyDescent="0.45">
      <c r="A116" s="82"/>
      <c r="B116"/>
      <c r="C116" s="77"/>
      <c r="D116"/>
    </row>
    <row r="117" spans="1:4" ht="15" customHeight="1" x14ac:dyDescent="0.45">
      <c r="A117" s="82"/>
      <c r="B117"/>
      <c r="C117" s="77"/>
      <c r="D117"/>
    </row>
    <row r="118" spans="1:4" ht="15" customHeight="1" x14ac:dyDescent="0.45">
      <c r="A118"/>
      <c r="B118"/>
      <c r="C118" s="77"/>
      <c r="D118"/>
    </row>
    <row r="119" spans="1:4" ht="15" customHeight="1" x14ac:dyDescent="0.45">
      <c r="A119"/>
      <c r="B119"/>
      <c r="C119" s="77"/>
      <c r="D119"/>
    </row>
    <row r="120" spans="1:4" ht="15" customHeight="1" x14ac:dyDescent="0.45">
      <c r="A120"/>
      <c r="B120"/>
      <c r="C120" s="77"/>
      <c r="D120"/>
    </row>
    <row r="121" spans="1:4" ht="15" customHeight="1" x14ac:dyDescent="0.45">
      <c r="A121"/>
      <c r="B121"/>
      <c r="C121" s="77"/>
      <c r="D121"/>
    </row>
    <row r="122" spans="1:4" ht="15" customHeight="1" x14ac:dyDescent="0.45">
      <c r="A122"/>
      <c r="B122"/>
      <c r="C122" s="77"/>
      <c r="D122"/>
    </row>
    <row r="123" spans="1:4" ht="15" customHeight="1" x14ac:dyDescent="0.45">
      <c r="A123"/>
      <c r="B123"/>
      <c r="C123" s="77"/>
      <c r="D123"/>
    </row>
    <row r="124" spans="1:4" ht="15" customHeight="1" x14ac:dyDescent="0.45">
      <c r="A124"/>
      <c r="B124"/>
      <c r="C124" s="77"/>
      <c r="D124"/>
    </row>
    <row r="125" spans="1:4" ht="15" customHeight="1" x14ac:dyDescent="0.45">
      <c r="A125"/>
      <c r="B125"/>
      <c r="C125" s="77"/>
      <c r="D125"/>
    </row>
    <row r="126" spans="1:4" ht="15" customHeight="1" x14ac:dyDescent="0.45">
      <c r="A126"/>
      <c r="B126"/>
      <c r="C126" s="77"/>
      <c r="D126"/>
    </row>
    <row r="127" spans="1:4" ht="15" customHeight="1" x14ac:dyDescent="0.45">
      <c r="A127"/>
      <c r="B127"/>
      <c r="C127" s="77"/>
      <c r="D127"/>
    </row>
    <row r="128" spans="1:4" ht="15" customHeight="1" x14ac:dyDescent="0.45">
      <c r="A128"/>
      <c r="B128"/>
      <c r="C128" s="77"/>
      <c r="D128"/>
    </row>
    <row r="129" spans="3:3" customFormat="1" ht="15" customHeight="1" x14ac:dyDescent="0.45">
      <c r="C129" s="77"/>
    </row>
    <row r="130" spans="3:3" customFormat="1" ht="15" customHeight="1" x14ac:dyDescent="0.45">
      <c r="C130" s="77"/>
    </row>
    <row r="131" spans="3:3" customFormat="1" ht="15" customHeight="1" x14ac:dyDescent="0.45">
      <c r="C131" s="77"/>
    </row>
    <row r="132" spans="3:3" customFormat="1" ht="15" customHeight="1" x14ac:dyDescent="0.45">
      <c r="C132" s="77"/>
    </row>
    <row r="133" spans="3:3" customFormat="1" ht="15" customHeight="1" x14ac:dyDescent="0.45">
      <c r="C133" s="77"/>
    </row>
    <row r="134" spans="3:3" customFormat="1" ht="15" customHeight="1" x14ac:dyDescent="0.45">
      <c r="C134" s="77"/>
    </row>
    <row r="135" spans="3:3" customFormat="1" ht="15" customHeight="1" x14ac:dyDescent="0.45">
      <c r="C135" s="77"/>
    </row>
    <row r="136" spans="3:3" customFormat="1" ht="15" customHeight="1" x14ac:dyDescent="0.45">
      <c r="C136" s="77"/>
    </row>
    <row r="137" spans="3:3" customFormat="1" ht="15" customHeight="1" x14ac:dyDescent="0.45">
      <c r="C137" s="77"/>
    </row>
    <row r="138" spans="3:3" customFormat="1" ht="15" customHeight="1" x14ac:dyDescent="0.45">
      <c r="C138" s="77"/>
    </row>
    <row r="139" spans="3:3" customFormat="1" ht="15" customHeight="1" x14ac:dyDescent="0.45">
      <c r="C139" s="77"/>
    </row>
    <row r="140" spans="3:3" customFormat="1" ht="15" customHeight="1" x14ac:dyDescent="0.45">
      <c r="C140" s="77"/>
    </row>
    <row r="141" spans="3:3" customFormat="1" ht="15" customHeight="1" x14ac:dyDescent="0.45">
      <c r="C141" s="77"/>
    </row>
    <row r="142" spans="3:3" customFormat="1" ht="15" customHeight="1" x14ac:dyDescent="0.45">
      <c r="C142" s="77"/>
    </row>
    <row r="143" spans="3:3" customFormat="1" ht="15" customHeight="1" x14ac:dyDescent="0.45">
      <c r="C143" s="77"/>
    </row>
    <row r="144" spans="3:3" customFormat="1" ht="15" customHeight="1" x14ac:dyDescent="0.45">
      <c r="C144" s="77"/>
    </row>
    <row r="145" spans="3:3" customFormat="1" ht="15" customHeight="1" x14ac:dyDescent="0.45">
      <c r="C145" s="77"/>
    </row>
    <row r="146" spans="3:3" customFormat="1" ht="15" customHeight="1" x14ac:dyDescent="0.45">
      <c r="C146" s="77"/>
    </row>
    <row r="147" spans="3:3" customFormat="1" ht="15" customHeight="1" x14ac:dyDescent="0.45">
      <c r="C147" s="77"/>
    </row>
    <row r="148" spans="3:3" customFormat="1" ht="15" customHeight="1" x14ac:dyDescent="0.45">
      <c r="C148" s="77"/>
    </row>
    <row r="149" spans="3:3" customFormat="1" ht="15" customHeight="1" x14ac:dyDescent="0.45">
      <c r="C149" s="77"/>
    </row>
    <row r="150" spans="3:3" customFormat="1" ht="15" customHeight="1" x14ac:dyDescent="0.45">
      <c r="C150" s="77"/>
    </row>
    <row r="151" spans="3:3" customFormat="1" ht="15" customHeight="1" x14ac:dyDescent="0.45">
      <c r="C151" s="77"/>
    </row>
    <row r="152" spans="3:3" customFormat="1" ht="15" customHeight="1" x14ac:dyDescent="0.45">
      <c r="C152" s="77"/>
    </row>
    <row r="153" spans="3:3" customFormat="1" ht="15" customHeight="1" x14ac:dyDescent="0.45">
      <c r="C153" s="77"/>
    </row>
    <row r="154" spans="3:3" customFormat="1" ht="15" customHeight="1" x14ac:dyDescent="0.45">
      <c r="C154" s="77"/>
    </row>
    <row r="155" spans="3:3" customFormat="1" ht="15" customHeight="1" x14ac:dyDescent="0.45">
      <c r="C155" s="77"/>
    </row>
    <row r="156" spans="3:3" customFormat="1" ht="15" customHeight="1" x14ac:dyDescent="0.45">
      <c r="C156" s="77"/>
    </row>
    <row r="157" spans="3:3" customFormat="1" ht="15" customHeight="1" x14ac:dyDescent="0.45">
      <c r="C157" s="77"/>
    </row>
    <row r="158" spans="3:3" customFormat="1" ht="15" customHeight="1" x14ac:dyDescent="0.45">
      <c r="C158" s="77"/>
    </row>
    <row r="159" spans="3:3" customFormat="1" ht="15" customHeight="1" x14ac:dyDescent="0.45">
      <c r="C159" s="77"/>
    </row>
    <row r="160" spans="3:3" customFormat="1" ht="15" customHeight="1" x14ac:dyDescent="0.45">
      <c r="C160" s="77"/>
    </row>
    <row r="161" spans="3:3" customFormat="1" ht="15" customHeight="1" x14ac:dyDescent="0.45">
      <c r="C161" s="77"/>
    </row>
    <row r="162" spans="3:3" customFormat="1" ht="15" customHeight="1" x14ac:dyDescent="0.45">
      <c r="C162" s="77"/>
    </row>
    <row r="163" spans="3:3" customFormat="1" ht="15" customHeight="1" x14ac:dyDescent="0.45">
      <c r="C163" s="77"/>
    </row>
    <row r="164" spans="3:3" customFormat="1" ht="15" customHeight="1" x14ac:dyDescent="0.45">
      <c r="C164" s="77"/>
    </row>
    <row r="165" spans="3:3" customFormat="1" ht="15" customHeight="1" x14ac:dyDescent="0.45">
      <c r="C165" s="77"/>
    </row>
    <row r="166" spans="3:3" customFormat="1" ht="15" customHeight="1" x14ac:dyDescent="0.45">
      <c r="C166" s="77"/>
    </row>
    <row r="167" spans="3:3" customFormat="1" ht="15" customHeight="1" x14ac:dyDescent="0.45">
      <c r="C167" s="77"/>
    </row>
    <row r="168" spans="3:3" customFormat="1" ht="15" customHeight="1" x14ac:dyDescent="0.45">
      <c r="C168" s="77"/>
    </row>
    <row r="169" spans="3:3" customFormat="1" ht="15" customHeight="1" x14ac:dyDescent="0.45">
      <c r="C169" s="77"/>
    </row>
    <row r="170" spans="3:3" customFormat="1" ht="15" customHeight="1" x14ac:dyDescent="0.45">
      <c r="C170" s="77"/>
    </row>
    <row r="171" spans="3:3" customFormat="1" ht="15" customHeight="1" x14ac:dyDescent="0.45">
      <c r="C171" s="77"/>
    </row>
    <row r="172" spans="3:3" customFormat="1" ht="15" customHeight="1" x14ac:dyDescent="0.45">
      <c r="C172" s="77"/>
    </row>
    <row r="173" spans="3:3" customFormat="1" ht="15" customHeight="1" x14ac:dyDescent="0.45">
      <c r="C173" s="77"/>
    </row>
    <row r="174" spans="3:3" customFormat="1" ht="15" customHeight="1" x14ac:dyDescent="0.45">
      <c r="C174" s="77"/>
    </row>
    <row r="175" spans="3:3" customFormat="1" ht="15" customHeight="1" x14ac:dyDescent="0.45">
      <c r="C175" s="77"/>
    </row>
    <row r="176" spans="3:3" customFormat="1" ht="15" customHeight="1" x14ac:dyDescent="0.45">
      <c r="C176" s="77"/>
    </row>
    <row r="177" spans="3:3" customFormat="1" ht="15" customHeight="1" x14ac:dyDescent="0.45">
      <c r="C177" s="77"/>
    </row>
    <row r="178" spans="3:3" customFormat="1" ht="15" customHeight="1" x14ac:dyDescent="0.45">
      <c r="C178" s="77"/>
    </row>
    <row r="179" spans="3:3" customFormat="1" ht="15" customHeight="1" x14ac:dyDescent="0.45">
      <c r="C179" s="77"/>
    </row>
    <row r="180" spans="3:3" customFormat="1" ht="15" customHeight="1" x14ac:dyDescent="0.45">
      <c r="C180" s="77"/>
    </row>
    <row r="181" spans="3:3" customFormat="1" ht="15" customHeight="1" x14ac:dyDescent="0.45">
      <c r="C181" s="77"/>
    </row>
    <row r="182" spans="3:3" customFormat="1" ht="15" customHeight="1" x14ac:dyDescent="0.45">
      <c r="C182" s="77"/>
    </row>
    <row r="183" spans="3:3" customFormat="1" ht="15" customHeight="1" x14ac:dyDescent="0.45">
      <c r="C183" s="77"/>
    </row>
    <row r="184" spans="3:3" customFormat="1" ht="15" customHeight="1" x14ac:dyDescent="0.45">
      <c r="C184" s="77"/>
    </row>
    <row r="185" spans="3:3" customFormat="1" ht="15" customHeight="1" x14ac:dyDescent="0.45">
      <c r="C185" s="77"/>
    </row>
    <row r="186" spans="3:3" customFormat="1" ht="15" customHeight="1" x14ac:dyDescent="0.45">
      <c r="C186" s="77"/>
    </row>
    <row r="187" spans="3:3" customFormat="1" ht="15" customHeight="1" x14ac:dyDescent="0.45">
      <c r="C187" s="77"/>
    </row>
    <row r="188" spans="3:3" customFormat="1" ht="15" customHeight="1" x14ac:dyDescent="0.45">
      <c r="C188" s="77"/>
    </row>
    <row r="189" spans="3:3" customFormat="1" ht="15" customHeight="1" x14ac:dyDescent="0.45">
      <c r="C189" s="77"/>
    </row>
    <row r="190" spans="3:3" customFormat="1" ht="15" customHeight="1" x14ac:dyDescent="0.45">
      <c r="C190" s="77"/>
    </row>
    <row r="191" spans="3:3" customFormat="1" ht="15" customHeight="1" x14ac:dyDescent="0.45">
      <c r="C191" s="77"/>
    </row>
    <row r="192" spans="3:3" customFormat="1" ht="15" customHeight="1" x14ac:dyDescent="0.45">
      <c r="C192" s="77"/>
    </row>
    <row r="193" spans="3:3" customFormat="1" ht="15" customHeight="1" x14ac:dyDescent="0.45">
      <c r="C193" s="77"/>
    </row>
    <row r="194" spans="3:3" customFormat="1" ht="15" customHeight="1" x14ac:dyDescent="0.45">
      <c r="C194" s="77"/>
    </row>
    <row r="195" spans="3:3" customFormat="1" ht="15" customHeight="1" x14ac:dyDescent="0.45">
      <c r="C195" s="77"/>
    </row>
    <row r="196" spans="3:3" customFormat="1" ht="15" customHeight="1" x14ac:dyDescent="0.45">
      <c r="C196" s="77"/>
    </row>
    <row r="197" spans="3:3" customFormat="1" ht="15" customHeight="1" x14ac:dyDescent="0.45">
      <c r="C197" s="77"/>
    </row>
    <row r="198" spans="3:3" customFormat="1" ht="15" customHeight="1" x14ac:dyDescent="0.45">
      <c r="C198" s="77"/>
    </row>
    <row r="199" spans="3:3" customFormat="1" ht="15" customHeight="1" x14ac:dyDescent="0.45">
      <c r="C199" s="77"/>
    </row>
    <row r="200" spans="3:3" customFormat="1" ht="15" customHeight="1" x14ac:dyDescent="0.45">
      <c r="C200" s="77"/>
    </row>
    <row r="201" spans="3:3" customFormat="1" ht="15" customHeight="1" x14ac:dyDescent="0.45">
      <c r="C201" s="77"/>
    </row>
    <row r="202" spans="3:3" customFormat="1" ht="15" customHeight="1" x14ac:dyDescent="0.45">
      <c r="C202" s="77"/>
    </row>
    <row r="203" spans="3:3" customFormat="1" ht="15" customHeight="1" x14ac:dyDescent="0.45">
      <c r="C203" s="77"/>
    </row>
    <row r="204" spans="3:3" customFormat="1" ht="15" customHeight="1" x14ac:dyDescent="0.45">
      <c r="C204" s="77"/>
    </row>
    <row r="205" spans="3:3" customFormat="1" ht="15" customHeight="1" x14ac:dyDescent="0.45">
      <c r="C205" s="77"/>
    </row>
    <row r="206" spans="3:3" customFormat="1" ht="15" customHeight="1" x14ac:dyDescent="0.45">
      <c r="C206" s="77"/>
    </row>
    <row r="207" spans="3:3" customFormat="1" ht="15" customHeight="1" x14ac:dyDescent="0.45">
      <c r="C207" s="77"/>
    </row>
    <row r="208" spans="3:3" customFormat="1" ht="15" customHeight="1" x14ac:dyDescent="0.45">
      <c r="C208" s="77"/>
    </row>
    <row r="209" spans="3:3" customFormat="1" ht="15" customHeight="1" x14ac:dyDescent="0.45">
      <c r="C209" s="77"/>
    </row>
    <row r="210" spans="3:3" customFormat="1" ht="15" customHeight="1" x14ac:dyDescent="0.45">
      <c r="C210" s="77"/>
    </row>
    <row r="211" spans="3:3" customFormat="1" ht="15" customHeight="1" x14ac:dyDescent="0.45">
      <c r="C211" s="77"/>
    </row>
    <row r="212" spans="3:3" customFormat="1" ht="15" customHeight="1" x14ac:dyDescent="0.45">
      <c r="C212" s="77"/>
    </row>
    <row r="213" spans="3:3" customFormat="1" ht="15" customHeight="1" x14ac:dyDescent="0.45">
      <c r="C213" s="77"/>
    </row>
    <row r="214" spans="3:3" customFormat="1" ht="15" customHeight="1" x14ac:dyDescent="0.45">
      <c r="C214" s="77"/>
    </row>
    <row r="215" spans="3:3" customFormat="1" ht="15" customHeight="1" x14ac:dyDescent="0.45">
      <c r="C215" s="77"/>
    </row>
    <row r="216" spans="3:3" customFormat="1" ht="15" customHeight="1" x14ac:dyDescent="0.45">
      <c r="C216" s="77"/>
    </row>
    <row r="217" spans="3:3" customFormat="1" ht="15" customHeight="1" x14ac:dyDescent="0.45">
      <c r="C217" s="77"/>
    </row>
    <row r="218" spans="3:3" customFormat="1" ht="15" customHeight="1" x14ac:dyDescent="0.45">
      <c r="C218" s="77"/>
    </row>
    <row r="219" spans="3:3" customFormat="1" ht="15" customHeight="1" x14ac:dyDescent="0.45">
      <c r="C219" s="77"/>
    </row>
    <row r="220" spans="3:3" customFormat="1" ht="15" customHeight="1" x14ac:dyDescent="0.45">
      <c r="C220" s="77"/>
    </row>
    <row r="221" spans="3:3" customFormat="1" ht="15" customHeight="1" x14ac:dyDescent="0.45">
      <c r="C221" s="77"/>
    </row>
    <row r="222" spans="3:3" customFormat="1" ht="15" customHeight="1" x14ac:dyDescent="0.45">
      <c r="C222" s="77"/>
    </row>
    <row r="223" spans="3:3" customFormat="1" ht="15" customHeight="1" x14ac:dyDescent="0.45">
      <c r="C223" s="77"/>
    </row>
    <row r="224" spans="3:3" customFormat="1" ht="15" customHeight="1" x14ac:dyDescent="0.45">
      <c r="C224" s="77"/>
    </row>
    <row r="225" spans="3:3" customFormat="1" ht="15" customHeight="1" x14ac:dyDescent="0.45">
      <c r="C225" s="77"/>
    </row>
    <row r="226" spans="3:3" customFormat="1" ht="15" customHeight="1" x14ac:dyDescent="0.45">
      <c r="C226" s="77"/>
    </row>
    <row r="227" spans="3:3" customFormat="1" ht="15" customHeight="1" x14ac:dyDescent="0.45">
      <c r="C227" s="77"/>
    </row>
    <row r="228" spans="3:3" customFormat="1" ht="15" customHeight="1" x14ac:dyDescent="0.45">
      <c r="C228" s="77"/>
    </row>
    <row r="229" spans="3:3" customFormat="1" ht="15" customHeight="1" x14ac:dyDescent="0.45">
      <c r="C229" s="77"/>
    </row>
    <row r="230" spans="3:3" customFormat="1" ht="15" customHeight="1" x14ac:dyDescent="0.45">
      <c r="C230" s="77"/>
    </row>
    <row r="231" spans="3:3" customFormat="1" ht="15" customHeight="1" x14ac:dyDescent="0.45">
      <c r="C231" s="77"/>
    </row>
    <row r="232" spans="3:3" customFormat="1" ht="15" customHeight="1" x14ac:dyDescent="0.45">
      <c r="C232" s="77"/>
    </row>
    <row r="233" spans="3:3" customFormat="1" ht="15" customHeight="1" x14ac:dyDescent="0.45">
      <c r="C233" s="77"/>
    </row>
    <row r="234" spans="3:3" customFormat="1" ht="15" customHeight="1" x14ac:dyDescent="0.45">
      <c r="C234" s="77"/>
    </row>
    <row r="235" spans="3:3" customFormat="1" ht="15" customHeight="1" x14ac:dyDescent="0.45">
      <c r="C235" s="77"/>
    </row>
    <row r="236" spans="3:3" customFormat="1" ht="15" customHeight="1" x14ac:dyDescent="0.45">
      <c r="C236" s="77"/>
    </row>
    <row r="237" spans="3:3" customFormat="1" ht="15" customHeight="1" x14ac:dyDescent="0.45">
      <c r="C237" s="77"/>
    </row>
    <row r="238" spans="3:3" customFormat="1" ht="15" customHeight="1" x14ac:dyDescent="0.45">
      <c r="C238" s="77"/>
    </row>
    <row r="239" spans="3:3" customFormat="1" ht="15" customHeight="1" x14ac:dyDescent="0.45">
      <c r="C239" s="77"/>
    </row>
    <row r="240" spans="3:3" customFormat="1" ht="15" customHeight="1" x14ac:dyDescent="0.45">
      <c r="C240" s="77"/>
    </row>
    <row r="241" spans="3:3" customFormat="1" ht="15" customHeight="1" x14ac:dyDescent="0.45">
      <c r="C241" s="77"/>
    </row>
    <row r="242" spans="3:3" customFormat="1" ht="15" customHeight="1" x14ac:dyDescent="0.45">
      <c r="C242" s="77"/>
    </row>
    <row r="243" spans="3:3" customFormat="1" ht="15" customHeight="1" x14ac:dyDescent="0.45">
      <c r="C243" s="77"/>
    </row>
    <row r="244" spans="3:3" customFormat="1" ht="15" customHeight="1" x14ac:dyDescent="0.45">
      <c r="C244" s="77"/>
    </row>
    <row r="245" spans="3:3" customFormat="1" ht="15" customHeight="1" x14ac:dyDescent="0.45">
      <c r="C245" s="77"/>
    </row>
    <row r="246" spans="3:3" customFormat="1" ht="15" customHeight="1" x14ac:dyDescent="0.45">
      <c r="C246" s="77"/>
    </row>
    <row r="247" spans="3:3" customFormat="1" ht="15" customHeight="1" x14ac:dyDescent="0.45">
      <c r="C247" s="77"/>
    </row>
    <row r="248" spans="3:3" customFormat="1" ht="15" customHeight="1" x14ac:dyDescent="0.45">
      <c r="C248" s="77"/>
    </row>
    <row r="249" spans="3:3" customFormat="1" ht="15" customHeight="1" x14ac:dyDescent="0.45">
      <c r="C249" s="77"/>
    </row>
    <row r="250" spans="3:3" customFormat="1" ht="15" customHeight="1" x14ac:dyDescent="0.45">
      <c r="C250" s="77"/>
    </row>
    <row r="251" spans="3:3" customFormat="1" ht="15" customHeight="1" x14ac:dyDescent="0.45">
      <c r="C251" s="77"/>
    </row>
    <row r="252" spans="3:3" customFormat="1" ht="15" customHeight="1" x14ac:dyDescent="0.45">
      <c r="C252" s="77"/>
    </row>
    <row r="253" spans="3:3" customFormat="1" ht="15" customHeight="1" x14ac:dyDescent="0.45">
      <c r="C253" s="77"/>
    </row>
    <row r="254" spans="3:3" customFormat="1" ht="15" customHeight="1" x14ac:dyDescent="0.45">
      <c r="C254" s="77"/>
    </row>
    <row r="255" spans="3:3" customFormat="1" ht="15" customHeight="1" x14ac:dyDescent="0.45">
      <c r="C255" s="77"/>
    </row>
    <row r="256" spans="3:3" customFormat="1" ht="15" customHeight="1" x14ac:dyDescent="0.45">
      <c r="C256" s="77"/>
    </row>
    <row r="257" spans="3:3" customFormat="1" ht="15" customHeight="1" x14ac:dyDescent="0.45">
      <c r="C257" s="77"/>
    </row>
    <row r="258" spans="3:3" customFormat="1" ht="15" customHeight="1" x14ac:dyDescent="0.45">
      <c r="C258" s="77"/>
    </row>
    <row r="259" spans="3:3" customFormat="1" ht="15" customHeight="1" x14ac:dyDescent="0.45">
      <c r="C259" s="77"/>
    </row>
    <row r="260" spans="3:3" customFormat="1" ht="15" customHeight="1" x14ac:dyDescent="0.45">
      <c r="C260" s="77"/>
    </row>
    <row r="261" spans="3:3" customFormat="1" ht="15" customHeight="1" x14ac:dyDescent="0.45">
      <c r="C261" s="77"/>
    </row>
    <row r="262" spans="3:3" customFormat="1" ht="15" customHeight="1" x14ac:dyDescent="0.45">
      <c r="C262" s="77"/>
    </row>
    <row r="263" spans="3:3" customFormat="1" ht="15" customHeight="1" x14ac:dyDescent="0.45">
      <c r="C263" s="77"/>
    </row>
    <row r="264" spans="3:3" customFormat="1" ht="15" customHeight="1" x14ac:dyDescent="0.45">
      <c r="C264" s="77"/>
    </row>
    <row r="265" spans="3:3" customFormat="1" ht="15" customHeight="1" x14ac:dyDescent="0.45">
      <c r="C265" s="77"/>
    </row>
    <row r="266" spans="3:3" customFormat="1" ht="15" customHeight="1" x14ac:dyDescent="0.45">
      <c r="C266" s="77"/>
    </row>
    <row r="267" spans="3:3" customFormat="1" ht="15" customHeight="1" x14ac:dyDescent="0.45">
      <c r="C267" s="77"/>
    </row>
    <row r="268" spans="3:3" customFormat="1" ht="15" customHeight="1" x14ac:dyDescent="0.45">
      <c r="C268" s="77"/>
    </row>
    <row r="269" spans="3:3" customFormat="1" ht="15" customHeight="1" x14ac:dyDescent="0.45">
      <c r="C269" s="77"/>
    </row>
    <row r="270" spans="3:3" customFormat="1" ht="15" customHeight="1" x14ac:dyDescent="0.45">
      <c r="C270" s="77"/>
    </row>
    <row r="271" spans="3:3" customFormat="1" ht="15" customHeight="1" x14ac:dyDescent="0.45">
      <c r="C271" s="77"/>
    </row>
    <row r="272" spans="3:3" customFormat="1" ht="15" customHeight="1" x14ac:dyDescent="0.45">
      <c r="C272" s="77"/>
    </row>
    <row r="273" spans="3:3" customFormat="1" ht="15" customHeight="1" x14ac:dyDescent="0.45">
      <c r="C273" s="77"/>
    </row>
    <row r="274" spans="3:3" customFormat="1" ht="15" customHeight="1" x14ac:dyDescent="0.45">
      <c r="C274" s="77"/>
    </row>
    <row r="275" spans="3:3" customFormat="1" ht="15" customHeight="1" x14ac:dyDescent="0.45">
      <c r="C275" s="77"/>
    </row>
    <row r="276" spans="3:3" customFormat="1" ht="15" customHeight="1" x14ac:dyDescent="0.45">
      <c r="C276" s="77"/>
    </row>
    <row r="277" spans="3:3" customFormat="1" ht="15" customHeight="1" x14ac:dyDescent="0.45">
      <c r="C277" s="77"/>
    </row>
    <row r="278" spans="3:3" customFormat="1" ht="15" customHeight="1" x14ac:dyDescent="0.45">
      <c r="C278" s="77"/>
    </row>
    <row r="279" spans="3:3" customFormat="1" ht="15" customHeight="1" x14ac:dyDescent="0.45">
      <c r="C279" s="77"/>
    </row>
    <row r="280" spans="3:3" customFormat="1" ht="15" customHeight="1" x14ac:dyDescent="0.45">
      <c r="C280" s="77"/>
    </row>
    <row r="281" spans="3:3" customFormat="1" ht="15" customHeight="1" x14ac:dyDescent="0.45">
      <c r="C281" s="77"/>
    </row>
    <row r="282" spans="3:3" customFormat="1" ht="15" customHeight="1" x14ac:dyDescent="0.45">
      <c r="C282" s="77"/>
    </row>
    <row r="283" spans="3:3" customFormat="1" ht="15" customHeight="1" x14ac:dyDescent="0.45">
      <c r="C283" s="77"/>
    </row>
    <row r="284" spans="3:3" customFormat="1" ht="15" customHeight="1" x14ac:dyDescent="0.45">
      <c r="C284" s="77"/>
    </row>
    <row r="285" spans="3:3" customFormat="1" ht="15" customHeight="1" x14ac:dyDescent="0.45">
      <c r="C285" s="77"/>
    </row>
    <row r="286" spans="3:3" customFormat="1" ht="15" customHeight="1" x14ac:dyDescent="0.45">
      <c r="C286" s="77"/>
    </row>
    <row r="287" spans="3:3" customFormat="1" ht="15" customHeight="1" x14ac:dyDescent="0.45">
      <c r="C287" s="77"/>
    </row>
    <row r="288" spans="3:3" customFormat="1" ht="15" customHeight="1" x14ac:dyDescent="0.45">
      <c r="C288" s="77"/>
    </row>
    <row r="289" spans="3:3" customFormat="1" ht="15" customHeight="1" x14ac:dyDescent="0.45">
      <c r="C289" s="77"/>
    </row>
    <row r="290" spans="3:3" customFormat="1" ht="15" customHeight="1" x14ac:dyDescent="0.45">
      <c r="C290" s="77"/>
    </row>
    <row r="291" spans="3:3" customFormat="1" ht="15" customHeight="1" x14ac:dyDescent="0.45">
      <c r="C291" s="77"/>
    </row>
    <row r="292" spans="3:3" customFormat="1" ht="15" customHeight="1" x14ac:dyDescent="0.45">
      <c r="C292" s="77"/>
    </row>
    <row r="293" spans="3:3" customFormat="1" ht="15" customHeight="1" x14ac:dyDescent="0.45">
      <c r="C293" s="77"/>
    </row>
    <row r="294" spans="3:3" customFormat="1" ht="15" customHeight="1" x14ac:dyDescent="0.45">
      <c r="C294" s="77"/>
    </row>
    <row r="295" spans="3:3" customFormat="1" ht="15" customHeight="1" x14ac:dyDescent="0.45">
      <c r="C295" s="77"/>
    </row>
    <row r="296" spans="3:3" customFormat="1" ht="15" customHeight="1" x14ac:dyDescent="0.45">
      <c r="C296" s="77"/>
    </row>
    <row r="297" spans="3:3" customFormat="1" ht="15" customHeight="1" x14ac:dyDescent="0.45">
      <c r="C297" s="77"/>
    </row>
    <row r="298" spans="3:3" customFormat="1" ht="15" customHeight="1" x14ac:dyDescent="0.45">
      <c r="C298" s="77"/>
    </row>
    <row r="299" spans="3:3" customFormat="1" ht="15" customHeight="1" x14ac:dyDescent="0.45">
      <c r="C299" s="77"/>
    </row>
    <row r="300" spans="3:3" customFormat="1" ht="15" customHeight="1" x14ac:dyDescent="0.45">
      <c r="C300" s="77"/>
    </row>
    <row r="301" spans="3:3" customFormat="1" ht="15" customHeight="1" x14ac:dyDescent="0.45">
      <c r="C301" s="77"/>
    </row>
    <row r="302" spans="3:3" customFormat="1" ht="15" customHeight="1" x14ac:dyDescent="0.45">
      <c r="C302" s="77"/>
    </row>
    <row r="303" spans="3:3" customFormat="1" ht="15" customHeight="1" x14ac:dyDescent="0.45">
      <c r="C303" s="77"/>
    </row>
    <row r="304" spans="3:3" customFormat="1" ht="15" customHeight="1" x14ac:dyDescent="0.45">
      <c r="C304" s="77"/>
    </row>
    <row r="305" spans="3:3" customFormat="1" ht="15" customHeight="1" x14ac:dyDescent="0.45">
      <c r="C305" s="77"/>
    </row>
    <row r="306" spans="3:3" customFormat="1" ht="15" customHeight="1" x14ac:dyDescent="0.45">
      <c r="C306" s="77"/>
    </row>
    <row r="307" spans="3:3" customFormat="1" ht="15" customHeight="1" x14ac:dyDescent="0.45">
      <c r="C307" s="77"/>
    </row>
    <row r="308" spans="3:3" customFormat="1" ht="15" customHeight="1" x14ac:dyDescent="0.45">
      <c r="C308" s="77"/>
    </row>
    <row r="309" spans="3:3" customFormat="1" ht="15" customHeight="1" x14ac:dyDescent="0.45">
      <c r="C309" s="77"/>
    </row>
    <row r="310" spans="3:3" customFormat="1" ht="15" customHeight="1" x14ac:dyDescent="0.45">
      <c r="C310" s="77"/>
    </row>
    <row r="311" spans="3:3" customFormat="1" ht="15" customHeight="1" x14ac:dyDescent="0.45">
      <c r="C311" s="77"/>
    </row>
    <row r="312" spans="3:3" customFormat="1" ht="15" customHeight="1" x14ac:dyDescent="0.45">
      <c r="C312" s="77"/>
    </row>
    <row r="313" spans="3:3" customFormat="1" ht="15" customHeight="1" x14ac:dyDescent="0.45">
      <c r="C313" s="77"/>
    </row>
    <row r="314" spans="3:3" customFormat="1" ht="15" customHeight="1" x14ac:dyDescent="0.45">
      <c r="C314" s="77"/>
    </row>
    <row r="315" spans="3:3" customFormat="1" ht="15" customHeight="1" x14ac:dyDescent="0.45">
      <c r="C315" s="77"/>
    </row>
    <row r="316" spans="3:3" customFormat="1" ht="15" customHeight="1" x14ac:dyDescent="0.45">
      <c r="C316" s="77"/>
    </row>
    <row r="317" spans="3:3" customFormat="1" ht="15" customHeight="1" x14ac:dyDescent="0.45">
      <c r="C317" s="77"/>
    </row>
    <row r="318" spans="3:3" customFormat="1" ht="15" customHeight="1" x14ac:dyDescent="0.45">
      <c r="C318" s="77"/>
    </row>
    <row r="319" spans="3:3" customFormat="1" ht="15" customHeight="1" x14ac:dyDescent="0.45">
      <c r="C319" s="77"/>
    </row>
    <row r="320" spans="3:3" customFormat="1" ht="15" customHeight="1" x14ac:dyDescent="0.45">
      <c r="C320" s="77"/>
    </row>
    <row r="321" spans="3:3" customFormat="1" ht="15" customHeight="1" x14ac:dyDescent="0.45">
      <c r="C321" s="77"/>
    </row>
    <row r="322" spans="3:3" customFormat="1" ht="15" customHeight="1" x14ac:dyDescent="0.45">
      <c r="C322" s="77"/>
    </row>
    <row r="323" spans="3:3" customFormat="1" ht="15" customHeight="1" x14ac:dyDescent="0.45">
      <c r="C323" s="77"/>
    </row>
    <row r="324" spans="3:3" customFormat="1" ht="15" customHeight="1" x14ac:dyDescent="0.45">
      <c r="C324" s="77"/>
    </row>
    <row r="325" spans="3:3" customFormat="1" ht="15" customHeight="1" x14ac:dyDescent="0.45">
      <c r="C325" s="77"/>
    </row>
    <row r="326" spans="3:3" customFormat="1" ht="15" customHeight="1" x14ac:dyDescent="0.45">
      <c r="C326" s="77"/>
    </row>
    <row r="327" spans="3:3" customFormat="1" ht="15" customHeight="1" x14ac:dyDescent="0.45">
      <c r="C327" s="77"/>
    </row>
    <row r="328" spans="3:3" customFormat="1" ht="15" customHeight="1" x14ac:dyDescent="0.45">
      <c r="C328" s="77"/>
    </row>
    <row r="329" spans="3:3" customFormat="1" ht="15" customHeight="1" x14ac:dyDescent="0.45">
      <c r="C329" s="77"/>
    </row>
    <row r="330" spans="3:3" customFormat="1" ht="15" customHeight="1" x14ac:dyDescent="0.45">
      <c r="C330" s="77"/>
    </row>
    <row r="331" spans="3:3" customFormat="1" ht="15" customHeight="1" x14ac:dyDescent="0.45">
      <c r="C331" s="77"/>
    </row>
    <row r="332" spans="3:3" customFormat="1" ht="15" customHeight="1" x14ac:dyDescent="0.45">
      <c r="C332" s="77"/>
    </row>
    <row r="333" spans="3:3" customFormat="1" ht="15" customHeight="1" x14ac:dyDescent="0.45">
      <c r="C333" s="77"/>
    </row>
    <row r="334" spans="3:3" customFormat="1" ht="15" customHeight="1" x14ac:dyDescent="0.45">
      <c r="C334" s="77"/>
    </row>
    <row r="335" spans="3:3" customFormat="1" ht="15" customHeight="1" x14ac:dyDescent="0.45">
      <c r="C335" s="77"/>
    </row>
    <row r="336" spans="3:3" customFormat="1" ht="15" customHeight="1" x14ac:dyDescent="0.45">
      <c r="C336" s="77"/>
    </row>
    <row r="337" spans="3:3" customFormat="1" ht="15" customHeight="1" x14ac:dyDescent="0.45">
      <c r="C337" s="77"/>
    </row>
    <row r="338" spans="3:3" customFormat="1" ht="15" customHeight="1" x14ac:dyDescent="0.45">
      <c r="C338" s="77"/>
    </row>
    <row r="339" spans="3:3" customFormat="1" ht="15" customHeight="1" x14ac:dyDescent="0.45">
      <c r="C339" s="77"/>
    </row>
    <row r="340" spans="3:3" customFormat="1" ht="15" customHeight="1" x14ac:dyDescent="0.45">
      <c r="C340" s="77"/>
    </row>
    <row r="341" spans="3:3" customFormat="1" ht="15" customHeight="1" x14ac:dyDescent="0.45">
      <c r="C341" s="77"/>
    </row>
    <row r="342" spans="3:3" customFormat="1" ht="15" customHeight="1" x14ac:dyDescent="0.45">
      <c r="C342" s="77"/>
    </row>
    <row r="343" spans="3:3" customFormat="1" ht="15" customHeight="1" x14ac:dyDescent="0.45">
      <c r="C343" s="77"/>
    </row>
    <row r="344" spans="3:3" customFormat="1" ht="15" customHeight="1" x14ac:dyDescent="0.45">
      <c r="C344" s="77"/>
    </row>
    <row r="345" spans="3:3" customFormat="1" ht="15" customHeight="1" x14ac:dyDescent="0.45">
      <c r="C345" s="77"/>
    </row>
    <row r="346" spans="3:3" customFormat="1" ht="15" customHeight="1" x14ac:dyDescent="0.45">
      <c r="C346" s="77"/>
    </row>
    <row r="347" spans="3:3" customFormat="1" ht="15" customHeight="1" x14ac:dyDescent="0.45">
      <c r="C347" s="77"/>
    </row>
    <row r="348" spans="3:3" customFormat="1" ht="15" customHeight="1" x14ac:dyDescent="0.45">
      <c r="C348" s="77"/>
    </row>
    <row r="349" spans="3:3" customFormat="1" ht="15" customHeight="1" x14ac:dyDescent="0.45">
      <c r="C349" s="77"/>
    </row>
    <row r="350" spans="3:3" customFormat="1" ht="15" customHeight="1" x14ac:dyDescent="0.45">
      <c r="C350" s="77"/>
    </row>
    <row r="351" spans="3:3" customFormat="1" ht="15" customHeight="1" x14ac:dyDescent="0.45">
      <c r="C351" s="77"/>
    </row>
    <row r="352" spans="3:3" customFormat="1" ht="15" customHeight="1" x14ac:dyDescent="0.45">
      <c r="C352" s="77"/>
    </row>
    <row r="353" spans="3:3" customFormat="1" ht="15" customHeight="1" x14ac:dyDescent="0.45">
      <c r="C353" s="77"/>
    </row>
    <row r="354" spans="3:3" customFormat="1" ht="15" customHeight="1" x14ac:dyDescent="0.45">
      <c r="C354" s="77"/>
    </row>
    <row r="355" spans="3:3" customFormat="1" ht="15" customHeight="1" x14ac:dyDescent="0.45">
      <c r="C355" s="77"/>
    </row>
    <row r="356" spans="3:3" customFormat="1" ht="15" customHeight="1" x14ac:dyDescent="0.45">
      <c r="C356" s="77"/>
    </row>
    <row r="357" spans="3:3" customFormat="1" ht="15" customHeight="1" x14ac:dyDescent="0.45">
      <c r="C357" s="77"/>
    </row>
    <row r="358" spans="3:3" customFormat="1" ht="15" customHeight="1" x14ac:dyDescent="0.45">
      <c r="C358" s="77"/>
    </row>
    <row r="359" spans="3:3" customFormat="1" ht="15" customHeight="1" x14ac:dyDescent="0.45">
      <c r="C359" s="77"/>
    </row>
    <row r="360" spans="3:3" customFormat="1" ht="15" customHeight="1" x14ac:dyDescent="0.45">
      <c r="C360" s="77"/>
    </row>
    <row r="361" spans="3:3" customFormat="1" ht="15" customHeight="1" x14ac:dyDescent="0.45">
      <c r="C361" s="77"/>
    </row>
    <row r="362" spans="3:3" customFormat="1" ht="15" customHeight="1" x14ac:dyDescent="0.45">
      <c r="C362" s="77"/>
    </row>
    <row r="363" spans="3:3" customFormat="1" ht="15" customHeight="1" x14ac:dyDescent="0.45">
      <c r="C363" s="77"/>
    </row>
    <row r="364" spans="3:3" customFormat="1" ht="15" customHeight="1" x14ac:dyDescent="0.45">
      <c r="C364" s="77"/>
    </row>
    <row r="365" spans="3:3" customFormat="1" ht="15" customHeight="1" x14ac:dyDescent="0.45">
      <c r="C365" s="77"/>
    </row>
    <row r="366" spans="3:3" customFormat="1" ht="15" customHeight="1" x14ac:dyDescent="0.45">
      <c r="C366" s="77"/>
    </row>
    <row r="367" spans="3:3" customFormat="1" ht="15" customHeight="1" x14ac:dyDescent="0.45">
      <c r="C367" s="77"/>
    </row>
    <row r="368" spans="3:3" customFormat="1" ht="15" customHeight="1" x14ac:dyDescent="0.45">
      <c r="C368" s="77"/>
    </row>
    <row r="369" spans="3:3" customFormat="1" ht="15" customHeight="1" x14ac:dyDescent="0.45">
      <c r="C369" s="77"/>
    </row>
    <row r="370" spans="3:3" customFormat="1" ht="15" customHeight="1" x14ac:dyDescent="0.45">
      <c r="C370" s="77"/>
    </row>
    <row r="371" spans="3:3" customFormat="1" ht="15" customHeight="1" x14ac:dyDescent="0.45">
      <c r="C371" s="77"/>
    </row>
    <row r="372" spans="3:3" customFormat="1" ht="15" customHeight="1" x14ac:dyDescent="0.45">
      <c r="C372" s="77"/>
    </row>
    <row r="373" spans="3:3" customFormat="1" ht="15" customHeight="1" x14ac:dyDescent="0.45">
      <c r="C373" s="77"/>
    </row>
    <row r="374" spans="3:3" customFormat="1" ht="15" customHeight="1" x14ac:dyDescent="0.45">
      <c r="C374" s="77"/>
    </row>
    <row r="375" spans="3:3" customFormat="1" ht="15" customHeight="1" x14ac:dyDescent="0.45">
      <c r="C375" s="77"/>
    </row>
    <row r="376" spans="3:3" customFormat="1" ht="15" customHeight="1" x14ac:dyDescent="0.45">
      <c r="C376" s="77"/>
    </row>
    <row r="377" spans="3:3" customFormat="1" ht="15" customHeight="1" x14ac:dyDescent="0.45">
      <c r="C377" s="77"/>
    </row>
    <row r="378" spans="3:3" customFormat="1" ht="15" customHeight="1" x14ac:dyDescent="0.45">
      <c r="C378" s="77"/>
    </row>
    <row r="379" spans="3:3" customFormat="1" ht="15" customHeight="1" x14ac:dyDescent="0.45">
      <c r="C379" s="77"/>
    </row>
    <row r="380" spans="3:3" customFormat="1" ht="15" customHeight="1" x14ac:dyDescent="0.45">
      <c r="C380" s="77"/>
    </row>
    <row r="381" spans="3:3" customFormat="1" ht="15" customHeight="1" x14ac:dyDescent="0.45">
      <c r="C381" s="77"/>
    </row>
    <row r="382" spans="3:3" customFormat="1" ht="15" customHeight="1" x14ac:dyDescent="0.45">
      <c r="C382" s="77"/>
    </row>
    <row r="383" spans="3:3" customFormat="1" ht="15" customHeight="1" x14ac:dyDescent="0.45">
      <c r="C383" s="77"/>
    </row>
    <row r="384" spans="3:3" customFormat="1" ht="15" customHeight="1" x14ac:dyDescent="0.45">
      <c r="C384" s="77"/>
    </row>
    <row r="385" spans="3:3" customFormat="1" ht="15" customHeight="1" x14ac:dyDescent="0.45">
      <c r="C385" s="77"/>
    </row>
    <row r="386" spans="3:3" customFormat="1" ht="15" customHeight="1" x14ac:dyDescent="0.45">
      <c r="C386" s="77"/>
    </row>
    <row r="387" spans="3:3" customFormat="1" ht="15" customHeight="1" x14ac:dyDescent="0.45">
      <c r="C387" s="77"/>
    </row>
    <row r="388" spans="3:3" customFormat="1" ht="15" customHeight="1" x14ac:dyDescent="0.45">
      <c r="C388" s="77"/>
    </row>
    <row r="389" spans="3:3" customFormat="1" ht="15" customHeight="1" x14ac:dyDescent="0.45">
      <c r="C389" s="77"/>
    </row>
    <row r="390" spans="3:3" customFormat="1" ht="15" customHeight="1" x14ac:dyDescent="0.45">
      <c r="C390" s="77"/>
    </row>
    <row r="391" spans="3:3" customFormat="1" ht="15" customHeight="1" x14ac:dyDescent="0.45">
      <c r="C391" s="77"/>
    </row>
    <row r="392" spans="3:3" customFormat="1" ht="15" customHeight="1" x14ac:dyDescent="0.45">
      <c r="C392" s="77"/>
    </row>
    <row r="393" spans="3:3" customFormat="1" ht="15" customHeight="1" x14ac:dyDescent="0.45">
      <c r="C393" s="77"/>
    </row>
    <row r="394" spans="3:3" customFormat="1" ht="15" customHeight="1" x14ac:dyDescent="0.45">
      <c r="C394" s="77"/>
    </row>
    <row r="395" spans="3:3" customFormat="1" ht="15" customHeight="1" x14ac:dyDescent="0.45">
      <c r="C395" s="77"/>
    </row>
    <row r="396" spans="3:3" customFormat="1" ht="15" customHeight="1" x14ac:dyDescent="0.45">
      <c r="C396" s="77"/>
    </row>
    <row r="397" spans="3:3" customFormat="1" ht="15" customHeight="1" x14ac:dyDescent="0.45">
      <c r="C397" s="77"/>
    </row>
    <row r="398" spans="3:3" customFormat="1" ht="15" customHeight="1" x14ac:dyDescent="0.45">
      <c r="C398" s="77"/>
    </row>
    <row r="399" spans="3:3" customFormat="1" ht="15" customHeight="1" x14ac:dyDescent="0.45">
      <c r="C399" s="77"/>
    </row>
    <row r="400" spans="3:3" customFormat="1" ht="15" customHeight="1" x14ac:dyDescent="0.45">
      <c r="C400" s="77"/>
    </row>
    <row r="401" spans="3:3" customFormat="1" ht="15" customHeight="1" x14ac:dyDescent="0.45">
      <c r="C401" s="77"/>
    </row>
    <row r="402" spans="3:3" customFormat="1" ht="15" customHeight="1" x14ac:dyDescent="0.45">
      <c r="C402" s="77"/>
    </row>
    <row r="403" spans="3:3" customFormat="1" ht="15" customHeight="1" x14ac:dyDescent="0.45">
      <c r="C403" s="77"/>
    </row>
    <row r="404" spans="3:3" customFormat="1" ht="15" customHeight="1" x14ac:dyDescent="0.45">
      <c r="C404" s="77"/>
    </row>
    <row r="405" spans="3:3" customFormat="1" ht="15" customHeight="1" x14ac:dyDescent="0.45">
      <c r="C405" s="77"/>
    </row>
    <row r="406" spans="3:3" customFormat="1" ht="15" customHeight="1" x14ac:dyDescent="0.45">
      <c r="C406" s="77"/>
    </row>
    <row r="407" spans="3:3" customFormat="1" ht="15" customHeight="1" x14ac:dyDescent="0.45">
      <c r="C407" s="77"/>
    </row>
    <row r="408" spans="3:3" customFormat="1" ht="15" customHeight="1" x14ac:dyDescent="0.45">
      <c r="C408" s="77"/>
    </row>
    <row r="409" spans="3:3" customFormat="1" ht="15" customHeight="1" x14ac:dyDescent="0.45">
      <c r="C409" s="77"/>
    </row>
    <row r="410" spans="3:3" customFormat="1" ht="15" customHeight="1" x14ac:dyDescent="0.45">
      <c r="C410" s="77"/>
    </row>
    <row r="411" spans="3:3" customFormat="1" ht="15" customHeight="1" x14ac:dyDescent="0.45">
      <c r="C411" s="77"/>
    </row>
    <row r="412" spans="3:3" customFormat="1" ht="15" customHeight="1" x14ac:dyDescent="0.45">
      <c r="C412" s="77"/>
    </row>
    <row r="413" spans="3:3" customFormat="1" ht="15" customHeight="1" x14ac:dyDescent="0.45">
      <c r="C413" s="77"/>
    </row>
    <row r="414" spans="3:3" customFormat="1" ht="15" customHeight="1" x14ac:dyDescent="0.45">
      <c r="C414" s="77"/>
    </row>
    <row r="415" spans="3:3" customFormat="1" ht="15" customHeight="1" x14ac:dyDescent="0.45">
      <c r="C415" s="77"/>
    </row>
    <row r="416" spans="3:3" customFormat="1" ht="15" customHeight="1" x14ac:dyDescent="0.45">
      <c r="C416" s="77"/>
    </row>
  </sheetData>
  <pageMargins left="0.7" right="0.7" top="0.75" bottom="0.75" header="0.3" footer="0.3"/>
  <pageSetup paperSize="9" scale="27" orientation="landscape" verticalDpi="1200" r:id="rId1"/>
  <headerFooter>
    <oddHeader xml:space="preserve">&amp;R&amp;10&amp;F 
&amp;A
</oddHeader>
    <oddFooter>&amp;L&amp;10© 2016&amp;C&amp;10Page &amp;P of &amp;N&amp;R&amp;G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76C36-C846-4069-8DAF-545C07C41A51}">
  <dimension ref="A1:AA448"/>
  <sheetViews>
    <sheetView zoomScale="130" zoomScaleNormal="130" workbookViewId="0">
      <pane xSplit="4" ySplit="2" topLeftCell="E45" activePane="bottomRight" state="frozen"/>
      <selection pane="topRight" activeCell="E1" sqref="E1"/>
      <selection pane="bottomLeft" activeCell="A3" sqref="A3"/>
      <selection pane="bottomRight" activeCell="D50" sqref="D50"/>
    </sheetView>
  </sheetViews>
  <sheetFormatPr defaultColWidth="13.86328125" defaultRowHeight="15" customHeight="1" x14ac:dyDescent="0.45"/>
  <cols>
    <col min="1" max="1" width="1.53125" style="15" customWidth="1"/>
    <col min="2" max="2" width="27.19921875" style="16" customWidth="1"/>
    <col min="3" max="4" width="10.1328125" style="16" customWidth="1"/>
    <col min="5" max="5" width="4.796875" customWidth="1"/>
  </cols>
  <sheetData>
    <row r="1" spans="1:27" s="46" customFormat="1" ht="45" customHeight="1" x14ac:dyDescent="0.85">
      <c r="A1" s="5" t="str">
        <f>Info!A1</f>
        <v>Renewable Energy Modeling</v>
      </c>
      <c r="B1" s="10"/>
      <c r="C1" s="84"/>
      <c r="D1" s="10"/>
      <c r="E1" s="1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35" customFormat="1" ht="30" customHeight="1" x14ac:dyDescent="0.65">
      <c r="A2" s="14" t="str">
        <f ca="1">RIGHT(CELL("filename",A1),LEN(CELL("filename",A1))-SEARCH("]",CELL("filename", A1)))</f>
        <v>Sources and Uses</v>
      </c>
      <c r="B2" s="7"/>
      <c r="C2" s="11" t="s">
        <v>11</v>
      </c>
      <c r="D2" s="11" t="s">
        <v>11</v>
      </c>
      <c r="E2" s="11"/>
      <c r="F2" s="11">
        <f>'Assumptions and Outputs'!D11</f>
        <v>55153</v>
      </c>
      <c r="G2" s="11">
        <f t="shared" ref="G2:AA2" si="0">EDATE(F2,12)</f>
        <v>55518</v>
      </c>
      <c r="H2" s="11">
        <f t="shared" si="0"/>
        <v>55884</v>
      </c>
      <c r="I2" s="11">
        <f t="shared" si="0"/>
        <v>56249</v>
      </c>
      <c r="J2" s="11">
        <f t="shared" si="0"/>
        <v>56614</v>
      </c>
      <c r="K2" s="11">
        <f t="shared" si="0"/>
        <v>56979</v>
      </c>
      <c r="L2" s="11">
        <f t="shared" si="0"/>
        <v>57345</v>
      </c>
      <c r="M2" s="11">
        <f t="shared" si="0"/>
        <v>57710</v>
      </c>
      <c r="N2" s="11">
        <f t="shared" si="0"/>
        <v>58075</v>
      </c>
      <c r="O2" s="11">
        <f t="shared" si="0"/>
        <v>58440</v>
      </c>
      <c r="P2" s="11">
        <f t="shared" si="0"/>
        <v>58806</v>
      </c>
      <c r="Q2" s="11">
        <f t="shared" si="0"/>
        <v>59171</v>
      </c>
      <c r="R2" s="11">
        <f t="shared" si="0"/>
        <v>59536</v>
      </c>
      <c r="S2" s="11">
        <f t="shared" si="0"/>
        <v>59901</v>
      </c>
      <c r="T2" s="11">
        <f t="shared" si="0"/>
        <v>60267</v>
      </c>
      <c r="U2" s="11">
        <f t="shared" si="0"/>
        <v>60632</v>
      </c>
      <c r="V2" s="11">
        <f t="shared" si="0"/>
        <v>60997</v>
      </c>
      <c r="W2" s="11">
        <f t="shared" si="0"/>
        <v>61362</v>
      </c>
      <c r="X2" s="11">
        <f t="shared" si="0"/>
        <v>61728</v>
      </c>
      <c r="Y2" s="11">
        <f t="shared" si="0"/>
        <v>62093</v>
      </c>
      <c r="Z2" s="11">
        <f t="shared" si="0"/>
        <v>62458</v>
      </c>
      <c r="AA2" s="11">
        <f t="shared" si="0"/>
        <v>62823</v>
      </c>
    </row>
    <row r="3" spans="1:27" ht="15" customHeight="1" x14ac:dyDescent="0.45">
      <c r="A3" s="82"/>
      <c r="B3" s="77" t="str">
        <f>"all in "&amp;Local_currency&amp;" 000s unless stated"</f>
        <v>all in GBP 000s unless stated</v>
      </c>
      <c r="C3"/>
      <c r="D3" s="77"/>
    </row>
    <row r="4" spans="1:27" ht="15" customHeight="1" x14ac:dyDescent="0.45">
      <c r="A4" s="82"/>
      <c r="B4" s="77"/>
      <c r="C4"/>
      <c r="D4" s="77"/>
    </row>
    <row r="5" spans="1:27" ht="15" customHeight="1" x14ac:dyDescent="0.45">
      <c r="A5" s="82" t="s">
        <v>65</v>
      </c>
      <c r="B5"/>
      <c r="C5"/>
      <c r="D5"/>
    </row>
    <row r="6" spans="1:27" ht="15" customHeight="1" x14ac:dyDescent="0.45">
      <c r="A6"/>
      <c r="B6" t="s">
        <v>218</v>
      </c>
      <c r="C6"/>
      <c r="D6" s="79"/>
      <c r="F6">
        <f>Operations!F6</f>
        <v>0</v>
      </c>
      <c r="G6">
        <f>Operations!G6</f>
        <v>0</v>
      </c>
      <c r="H6">
        <f>Operations!H6</f>
        <v>1</v>
      </c>
      <c r="I6">
        <f>Operations!I6</f>
        <v>1</v>
      </c>
      <c r="J6">
        <f>Operations!J6</f>
        <v>1</v>
      </c>
      <c r="K6">
        <f>Operations!K6</f>
        <v>1</v>
      </c>
      <c r="L6">
        <f>Operations!L6</f>
        <v>1</v>
      </c>
      <c r="M6">
        <f>Operations!M6</f>
        <v>1</v>
      </c>
      <c r="N6">
        <f>Operations!N6</f>
        <v>1</v>
      </c>
      <c r="O6">
        <f>Operations!O6</f>
        <v>1</v>
      </c>
      <c r="P6">
        <f>Operations!P6</f>
        <v>1</v>
      </c>
      <c r="Q6">
        <f>Operations!Q6</f>
        <v>1</v>
      </c>
      <c r="R6">
        <f>Operations!R6</f>
        <v>1</v>
      </c>
      <c r="S6">
        <f>Operations!S6</f>
        <v>1</v>
      </c>
      <c r="T6">
        <f>Operations!T6</f>
        <v>1</v>
      </c>
      <c r="U6">
        <f>Operations!U6</f>
        <v>1</v>
      </c>
      <c r="V6">
        <f>Operations!V6</f>
        <v>1</v>
      </c>
      <c r="W6">
        <f>Operations!W6</f>
        <v>1</v>
      </c>
      <c r="X6">
        <f>Operations!X6</f>
        <v>1</v>
      </c>
      <c r="Y6">
        <f>Operations!Y6</f>
        <v>1</v>
      </c>
      <c r="Z6">
        <f>Operations!Z6</f>
        <v>1</v>
      </c>
      <c r="AA6">
        <f>Operations!AA6</f>
        <v>1</v>
      </c>
    </row>
    <row r="7" spans="1:27" ht="15" customHeight="1" x14ac:dyDescent="0.45">
      <c r="A7" s="82"/>
      <c r="B7" t="s">
        <v>306</v>
      </c>
      <c r="C7"/>
      <c r="D7" s="79"/>
      <c r="F7">
        <f>1-F6</f>
        <v>1</v>
      </c>
      <c r="G7">
        <f t="shared" ref="G7:K7" si="1">1-G6</f>
        <v>1</v>
      </c>
      <c r="H7">
        <f t="shared" si="1"/>
        <v>0</v>
      </c>
      <c r="I7">
        <f t="shared" si="1"/>
        <v>0</v>
      </c>
      <c r="J7">
        <f t="shared" si="1"/>
        <v>0</v>
      </c>
      <c r="K7">
        <f t="shared" si="1"/>
        <v>0</v>
      </c>
      <c r="L7">
        <f t="shared" ref="L7:AA7" si="2">1-L6</f>
        <v>0</v>
      </c>
      <c r="M7">
        <f t="shared" si="2"/>
        <v>0</v>
      </c>
      <c r="N7">
        <f t="shared" si="2"/>
        <v>0</v>
      </c>
      <c r="O7">
        <f t="shared" si="2"/>
        <v>0</v>
      </c>
      <c r="P7">
        <f t="shared" si="2"/>
        <v>0</v>
      </c>
      <c r="Q7">
        <f t="shared" si="2"/>
        <v>0</v>
      </c>
      <c r="R7">
        <f t="shared" si="2"/>
        <v>0</v>
      </c>
      <c r="S7">
        <f t="shared" si="2"/>
        <v>0</v>
      </c>
      <c r="T7">
        <f t="shared" si="2"/>
        <v>0</v>
      </c>
      <c r="U7">
        <f t="shared" si="2"/>
        <v>0</v>
      </c>
      <c r="V7">
        <f t="shared" si="2"/>
        <v>0</v>
      </c>
      <c r="W7">
        <f t="shared" si="2"/>
        <v>0</v>
      </c>
      <c r="X7">
        <f t="shared" si="2"/>
        <v>0</v>
      </c>
      <c r="Y7">
        <f t="shared" si="2"/>
        <v>0</v>
      </c>
      <c r="Z7">
        <f t="shared" si="2"/>
        <v>0</v>
      </c>
      <c r="AA7">
        <f t="shared" si="2"/>
        <v>0</v>
      </c>
    </row>
    <row r="8" spans="1:27" ht="15" customHeight="1" x14ac:dyDescent="0.45">
      <c r="A8" s="82"/>
      <c r="B8"/>
      <c r="C8"/>
      <c r="D8" s="79"/>
    </row>
    <row r="9" spans="1:27" ht="15" customHeight="1" x14ac:dyDescent="0.45">
      <c r="A9" s="82" t="s">
        <v>66</v>
      </c>
      <c r="B9"/>
      <c r="C9"/>
      <c r="D9"/>
    </row>
    <row r="10" spans="1:27" ht="15" customHeight="1" x14ac:dyDescent="0.45">
      <c r="A10" s="82"/>
      <c r="B10" t="s">
        <v>67</v>
      </c>
      <c r="C10"/>
      <c r="D10" s="67"/>
      <c r="E10" s="83"/>
      <c r="F10" s="86">
        <f>Operations!F10</f>
        <v>1.04</v>
      </c>
      <c r="G10" s="86">
        <f>Operations!G10</f>
        <v>1.0816000000000001</v>
      </c>
      <c r="H10" s="86">
        <f>Operations!H10</f>
        <v>1.1248640000000001</v>
      </c>
      <c r="I10" s="86">
        <f>Operations!I10</f>
        <v>1.1698585600000002</v>
      </c>
      <c r="J10" s="86">
        <f>Operations!J10</f>
        <v>1.2166529024000003</v>
      </c>
      <c r="K10" s="86">
        <f>Operations!K10</f>
        <v>1.2653190184960004</v>
      </c>
      <c r="L10" s="86">
        <f>Operations!L10</f>
        <v>1.3159317792358405</v>
      </c>
      <c r="M10" s="86">
        <f>Operations!M10</f>
        <v>1.3685690504052741</v>
      </c>
      <c r="N10" s="86">
        <f>Operations!N10</f>
        <v>1.4233118124214852</v>
      </c>
      <c r="O10" s="86">
        <f>Operations!O10</f>
        <v>1.4802442849183446</v>
      </c>
      <c r="P10" s="86">
        <f>Operations!P10</f>
        <v>1.5394540563150785</v>
      </c>
      <c r="Q10" s="86">
        <f>Operations!Q10</f>
        <v>1.6010322185676817</v>
      </c>
      <c r="R10" s="86">
        <f>Operations!R10</f>
        <v>1.6650735073103891</v>
      </c>
      <c r="S10" s="86">
        <f>Operations!S10</f>
        <v>1.7316764476028046</v>
      </c>
      <c r="T10" s="86">
        <f>Operations!T10</f>
        <v>1.8009435055069167</v>
      </c>
      <c r="U10" s="86">
        <f>Operations!U10</f>
        <v>1.8729812457271935</v>
      </c>
      <c r="V10" s="86">
        <f>Operations!V10</f>
        <v>1.9479004955562813</v>
      </c>
      <c r="W10" s="86">
        <f>Operations!W10</f>
        <v>2.0258165153785326</v>
      </c>
      <c r="X10" s="86">
        <f>Operations!X10</f>
        <v>2.1068491759936738</v>
      </c>
      <c r="Y10" s="86">
        <f>Operations!Y10</f>
        <v>2.1911231430334208</v>
      </c>
      <c r="Z10" s="86">
        <f>Operations!Z10</f>
        <v>2.2787680687547578</v>
      </c>
      <c r="AA10" s="86">
        <f>Operations!AA10</f>
        <v>2.369918791504948</v>
      </c>
    </row>
    <row r="11" spans="1:27" ht="15" customHeight="1" x14ac:dyDescent="0.45">
      <c r="A11" s="82"/>
      <c r="B11"/>
      <c r="C11"/>
      <c r="D11"/>
    </row>
    <row r="12" spans="1:27" ht="15" customHeight="1" x14ac:dyDescent="0.45">
      <c r="A12" s="82" t="s">
        <v>282</v>
      </c>
      <c r="B12" s="77"/>
      <c r="C12"/>
      <c r="D12" s="77"/>
    </row>
    <row r="13" spans="1:27" ht="15" customHeight="1" x14ac:dyDescent="0.45">
      <c r="A13" s="82"/>
      <c r="B13" t="s">
        <v>153</v>
      </c>
      <c r="C13"/>
      <c r="D13" s="77"/>
      <c r="F13" s="90">
        <f t="shared" ref="F13:K13" si="3">F40</f>
        <v>44561.919999999998</v>
      </c>
      <c r="G13" s="90">
        <f t="shared" si="3"/>
        <v>190938.91481600003</v>
      </c>
      <c r="H13" s="90">
        <f t="shared" si="3"/>
        <v>0</v>
      </c>
      <c r="I13" s="90">
        <f t="shared" si="3"/>
        <v>0</v>
      </c>
      <c r="J13" s="90">
        <f t="shared" si="3"/>
        <v>0</v>
      </c>
      <c r="K13" s="90">
        <f t="shared" si="3"/>
        <v>0</v>
      </c>
      <c r="L13" s="90">
        <f t="shared" ref="L13:AA13" si="4">L40</f>
        <v>0</v>
      </c>
      <c r="M13" s="90">
        <f t="shared" si="4"/>
        <v>0</v>
      </c>
      <c r="N13" s="90">
        <f t="shared" si="4"/>
        <v>0</v>
      </c>
      <c r="O13" s="90">
        <f t="shared" si="4"/>
        <v>0</v>
      </c>
      <c r="P13" s="90">
        <f t="shared" si="4"/>
        <v>0</v>
      </c>
      <c r="Q13" s="90">
        <f t="shared" si="4"/>
        <v>0</v>
      </c>
      <c r="R13" s="90">
        <f t="shared" si="4"/>
        <v>0</v>
      </c>
      <c r="S13" s="90">
        <f t="shared" si="4"/>
        <v>0</v>
      </c>
      <c r="T13" s="90">
        <f t="shared" si="4"/>
        <v>0</v>
      </c>
      <c r="U13" s="90">
        <f t="shared" si="4"/>
        <v>0</v>
      </c>
      <c r="V13" s="90">
        <f t="shared" si="4"/>
        <v>0</v>
      </c>
      <c r="W13" s="90">
        <f t="shared" si="4"/>
        <v>0</v>
      </c>
      <c r="X13" s="90">
        <f t="shared" si="4"/>
        <v>0</v>
      </c>
      <c r="Y13" s="90">
        <f t="shared" si="4"/>
        <v>0</v>
      </c>
      <c r="Z13" s="90">
        <f t="shared" si="4"/>
        <v>0</v>
      </c>
      <c r="AA13" s="90">
        <f t="shared" si="4"/>
        <v>0</v>
      </c>
    </row>
    <row r="14" spans="1:27" ht="15" customHeight="1" x14ac:dyDescent="0.45">
      <c r="A14" s="82"/>
      <c r="B14" t="s">
        <v>306</v>
      </c>
      <c r="C14"/>
      <c r="D14" s="77"/>
      <c r="F14" s="90">
        <f t="shared" ref="F14:K14" ca="1" si="5">F42</f>
        <v>0</v>
      </c>
      <c r="G14" s="90">
        <f t="shared" ca="1" si="5"/>
        <v>2868.2402789199277</v>
      </c>
      <c r="H14" s="90">
        <f t="shared" ca="1" si="5"/>
        <v>0</v>
      </c>
      <c r="I14" s="90">
        <f t="shared" ca="1" si="5"/>
        <v>0</v>
      </c>
      <c r="J14" s="90">
        <f t="shared" ca="1" si="5"/>
        <v>0</v>
      </c>
      <c r="K14" s="90">
        <f t="shared" ca="1" si="5"/>
        <v>0</v>
      </c>
      <c r="L14" s="90">
        <f t="shared" ref="L14:AA14" ca="1" si="6">L42</f>
        <v>0</v>
      </c>
      <c r="M14" s="90">
        <f t="shared" ca="1" si="6"/>
        <v>0</v>
      </c>
      <c r="N14" s="90">
        <f t="shared" ca="1" si="6"/>
        <v>0</v>
      </c>
      <c r="O14" s="90">
        <f t="shared" ca="1" si="6"/>
        <v>0</v>
      </c>
      <c r="P14" s="90">
        <f t="shared" ca="1" si="6"/>
        <v>0</v>
      </c>
      <c r="Q14" s="90">
        <f t="shared" ca="1" si="6"/>
        <v>0</v>
      </c>
      <c r="R14" s="90">
        <f t="shared" ca="1" si="6"/>
        <v>0</v>
      </c>
      <c r="S14" s="90">
        <f t="shared" ca="1" si="6"/>
        <v>0</v>
      </c>
      <c r="T14" s="90">
        <f t="shared" ca="1" si="6"/>
        <v>0</v>
      </c>
      <c r="U14" s="90">
        <f t="shared" ca="1" si="6"/>
        <v>0</v>
      </c>
      <c r="V14" s="90">
        <f t="shared" ca="1" si="6"/>
        <v>0</v>
      </c>
      <c r="W14" s="90">
        <f t="shared" ca="1" si="6"/>
        <v>0</v>
      </c>
      <c r="X14" s="90">
        <f t="shared" ca="1" si="6"/>
        <v>0</v>
      </c>
      <c r="Y14" s="90">
        <f t="shared" ca="1" si="6"/>
        <v>0</v>
      </c>
      <c r="Z14" s="90">
        <f t="shared" ca="1" si="6"/>
        <v>0</v>
      </c>
      <c r="AA14" s="90">
        <f t="shared" ca="1" si="6"/>
        <v>0</v>
      </c>
    </row>
    <row r="15" spans="1:27" ht="15" customHeight="1" x14ac:dyDescent="0.45">
      <c r="A15" s="82"/>
      <c r="B15" t="s">
        <v>283</v>
      </c>
      <c r="C15"/>
      <c r="D15" s="77"/>
      <c r="F15" s="90">
        <f t="shared" ref="F15:K15" ca="1" si="7">F43</f>
        <v>0</v>
      </c>
      <c r="G15" s="90">
        <f t="shared" ca="1" si="7"/>
        <v>5736.4805578398555</v>
      </c>
      <c r="H15" s="90">
        <f t="shared" si="7"/>
        <v>0</v>
      </c>
      <c r="I15" s="90">
        <f t="shared" si="7"/>
        <v>0</v>
      </c>
      <c r="J15" s="90">
        <f t="shared" si="7"/>
        <v>0</v>
      </c>
      <c r="K15" s="90">
        <f t="shared" si="7"/>
        <v>0</v>
      </c>
      <c r="L15" s="90">
        <f t="shared" ref="L15:AA15" si="8">L43</f>
        <v>0</v>
      </c>
      <c r="M15" s="90">
        <f t="shared" si="8"/>
        <v>0</v>
      </c>
      <c r="N15" s="90">
        <f t="shared" si="8"/>
        <v>0</v>
      </c>
      <c r="O15" s="90">
        <f t="shared" si="8"/>
        <v>0</v>
      </c>
      <c r="P15" s="90">
        <f t="shared" si="8"/>
        <v>0</v>
      </c>
      <c r="Q15" s="90">
        <f t="shared" si="8"/>
        <v>0</v>
      </c>
      <c r="R15" s="90">
        <f t="shared" si="8"/>
        <v>0</v>
      </c>
      <c r="S15" s="90">
        <f t="shared" si="8"/>
        <v>0</v>
      </c>
      <c r="T15" s="90">
        <f t="shared" si="8"/>
        <v>0</v>
      </c>
      <c r="U15" s="90">
        <f t="shared" si="8"/>
        <v>0</v>
      </c>
      <c r="V15" s="90">
        <f t="shared" si="8"/>
        <v>0</v>
      </c>
      <c r="W15" s="90">
        <f t="shared" si="8"/>
        <v>0</v>
      </c>
      <c r="X15" s="90">
        <f t="shared" si="8"/>
        <v>0</v>
      </c>
      <c r="Y15" s="90">
        <f t="shared" si="8"/>
        <v>0</v>
      </c>
      <c r="Z15" s="90">
        <f t="shared" si="8"/>
        <v>0</v>
      </c>
      <c r="AA15" s="90">
        <f t="shared" si="8"/>
        <v>0</v>
      </c>
    </row>
    <row r="16" spans="1:27" ht="15" customHeight="1" x14ac:dyDescent="0.45">
      <c r="A16" s="82"/>
      <c r="B16" t="s">
        <v>284</v>
      </c>
      <c r="C16"/>
      <c r="D16" s="77"/>
      <c r="F16" s="90">
        <f t="shared" ref="F16:K16" ca="1" si="9">SUM(F13:F15)</f>
        <v>44561.919999999998</v>
      </c>
      <c r="G16" s="90">
        <f t="shared" ca="1" si="9"/>
        <v>199543.63565275981</v>
      </c>
      <c r="H16" s="90">
        <f t="shared" ca="1" si="9"/>
        <v>0</v>
      </c>
      <c r="I16" s="90">
        <f t="shared" ca="1" si="9"/>
        <v>0</v>
      </c>
      <c r="J16" s="90">
        <f t="shared" ca="1" si="9"/>
        <v>0</v>
      </c>
      <c r="K16" s="90">
        <f t="shared" ca="1" si="9"/>
        <v>0</v>
      </c>
      <c r="L16" s="90">
        <f t="shared" ref="L16:AA16" ca="1" si="10">SUM(L13:L15)</f>
        <v>0</v>
      </c>
      <c r="M16" s="90">
        <f t="shared" ca="1" si="10"/>
        <v>0</v>
      </c>
      <c r="N16" s="90">
        <f t="shared" ca="1" si="10"/>
        <v>0</v>
      </c>
      <c r="O16" s="90">
        <f t="shared" ca="1" si="10"/>
        <v>0</v>
      </c>
      <c r="P16" s="90">
        <f t="shared" ca="1" si="10"/>
        <v>0</v>
      </c>
      <c r="Q16" s="90">
        <f t="shared" ca="1" si="10"/>
        <v>0</v>
      </c>
      <c r="R16" s="90">
        <f t="shared" ca="1" si="10"/>
        <v>0</v>
      </c>
      <c r="S16" s="90">
        <f t="shared" ca="1" si="10"/>
        <v>0</v>
      </c>
      <c r="T16" s="90">
        <f t="shared" ca="1" si="10"/>
        <v>0</v>
      </c>
      <c r="U16" s="90">
        <f t="shared" ca="1" si="10"/>
        <v>0</v>
      </c>
      <c r="V16" s="90">
        <f t="shared" ca="1" si="10"/>
        <v>0</v>
      </c>
      <c r="W16" s="90">
        <f t="shared" ca="1" si="10"/>
        <v>0</v>
      </c>
      <c r="X16" s="90">
        <f t="shared" ca="1" si="10"/>
        <v>0</v>
      </c>
      <c r="Y16" s="90">
        <f t="shared" ca="1" si="10"/>
        <v>0</v>
      </c>
      <c r="Z16" s="90">
        <f t="shared" ca="1" si="10"/>
        <v>0</v>
      </c>
      <c r="AA16" s="90">
        <f t="shared" ca="1" si="10"/>
        <v>0</v>
      </c>
    </row>
    <row r="17" spans="1:27" ht="15" customHeight="1" x14ac:dyDescent="0.45">
      <c r="A17" s="82"/>
      <c r="B17"/>
      <c r="C17"/>
      <c r="D17" s="77"/>
      <c r="H17" s="81"/>
    </row>
    <row r="18" spans="1:27" ht="15" customHeight="1" x14ac:dyDescent="0.45">
      <c r="A18" s="82"/>
      <c r="B18" t="s">
        <v>285</v>
      </c>
      <c r="C18"/>
      <c r="D18" s="77"/>
      <c r="F18" s="90">
        <f t="shared" ref="F18:K18" ca="1" si="11">F60</f>
        <v>44561.919999999998</v>
      </c>
      <c r="G18" s="90">
        <f t="shared" ca="1" si="11"/>
        <v>77490.857826379899</v>
      </c>
      <c r="H18" s="90">
        <f t="shared" ca="1" si="11"/>
        <v>0</v>
      </c>
      <c r="I18" s="90">
        <f t="shared" ca="1" si="11"/>
        <v>0</v>
      </c>
      <c r="J18" s="90">
        <f t="shared" ca="1" si="11"/>
        <v>0</v>
      </c>
      <c r="K18" s="90">
        <f t="shared" ca="1" si="11"/>
        <v>0</v>
      </c>
      <c r="L18" s="90">
        <f t="shared" ref="L18:AA18" ca="1" si="12">L60</f>
        <v>0</v>
      </c>
      <c r="M18" s="90">
        <f t="shared" ca="1" si="12"/>
        <v>0</v>
      </c>
      <c r="N18" s="90">
        <f t="shared" ca="1" si="12"/>
        <v>0</v>
      </c>
      <c r="O18" s="90">
        <f t="shared" ca="1" si="12"/>
        <v>0</v>
      </c>
      <c r="P18" s="90">
        <f t="shared" ca="1" si="12"/>
        <v>0</v>
      </c>
      <c r="Q18" s="90">
        <f t="shared" ca="1" si="12"/>
        <v>0</v>
      </c>
      <c r="R18" s="90">
        <f t="shared" ca="1" si="12"/>
        <v>0</v>
      </c>
      <c r="S18" s="90">
        <f t="shared" ca="1" si="12"/>
        <v>0</v>
      </c>
      <c r="T18" s="90">
        <f t="shared" ca="1" si="12"/>
        <v>0</v>
      </c>
      <c r="U18" s="90">
        <f t="shared" ca="1" si="12"/>
        <v>0</v>
      </c>
      <c r="V18" s="90">
        <f t="shared" ca="1" si="12"/>
        <v>0</v>
      </c>
      <c r="W18" s="90">
        <f t="shared" ca="1" si="12"/>
        <v>0</v>
      </c>
      <c r="X18" s="90">
        <f t="shared" ca="1" si="12"/>
        <v>0</v>
      </c>
      <c r="Y18" s="90">
        <f t="shared" ca="1" si="12"/>
        <v>0</v>
      </c>
      <c r="Z18" s="90">
        <f t="shared" ca="1" si="12"/>
        <v>0</v>
      </c>
      <c r="AA18" s="90">
        <f t="shared" ca="1" si="12"/>
        <v>0</v>
      </c>
    </row>
    <row r="19" spans="1:27" ht="15" customHeight="1" x14ac:dyDescent="0.45">
      <c r="A19" s="82"/>
      <c r="B19" t="s">
        <v>286</v>
      </c>
      <c r="C19"/>
      <c r="D19" s="77"/>
      <c r="F19" s="90">
        <f t="shared" ref="F19:K19" ca="1" si="13">F66</f>
        <v>0</v>
      </c>
      <c r="G19" s="90">
        <f t="shared" ca="1" si="13"/>
        <v>85436.944478465928</v>
      </c>
      <c r="H19" s="90">
        <f t="shared" ca="1" si="13"/>
        <v>0</v>
      </c>
      <c r="I19" s="90">
        <f t="shared" ca="1" si="13"/>
        <v>0</v>
      </c>
      <c r="J19" s="90">
        <f t="shared" ca="1" si="13"/>
        <v>0</v>
      </c>
      <c r="K19" s="90">
        <f t="shared" ca="1" si="13"/>
        <v>0</v>
      </c>
      <c r="L19" s="90">
        <f t="shared" ref="L19:AA19" ca="1" si="14">L66</f>
        <v>0</v>
      </c>
      <c r="M19" s="90">
        <f t="shared" ca="1" si="14"/>
        <v>0</v>
      </c>
      <c r="N19" s="90">
        <f t="shared" ca="1" si="14"/>
        <v>0</v>
      </c>
      <c r="O19" s="90">
        <f t="shared" ca="1" si="14"/>
        <v>0</v>
      </c>
      <c r="P19" s="90">
        <f t="shared" ca="1" si="14"/>
        <v>0</v>
      </c>
      <c r="Q19" s="90">
        <f t="shared" ca="1" si="14"/>
        <v>0</v>
      </c>
      <c r="R19" s="90">
        <f t="shared" ca="1" si="14"/>
        <v>0</v>
      </c>
      <c r="S19" s="90">
        <f t="shared" ca="1" si="14"/>
        <v>0</v>
      </c>
      <c r="T19" s="90">
        <f t="shared" ca="1" si="14"/>
        <v>0</v>
      </c>
      <c r="U19" s="90">
        <f t="shared" ca="1" si="14"/>
        <v>0</v>
      </c>
      <c r="V19" s="90">
        <f t="shared" ca="1" si="14"/>
        <v>0</v>
      </c>
      <c r="W19" s="90">
        <f t="shared" ca="1" si="14"/>
        <v>0</v>
      </c>
      <c r="X19" s="90">
        <f t="shared" ca="1" si="14"/>
        <v>0</v>
      </c>
      <c r="Y19" s="90">
        <f t="shared" ca="1" si="14"/>
        <v>0</v>
      </c>
      <c r="Z19" s="90">
        <f t="shared" ca="1" si="14"/>
        <v>0</v>
      </c>
      <c r="AA19" s="90">
        <f t="shared" ca="1" si="14"/>
        <v>0</v>
      </c>
    </row>
    <row r="20" spans="1:27" ht="15" customHeight="1" x14ac:dyDescent="0.45">
      <c r="A20" s="82"/>
      <c r="B20" t="s">
        <v>287</v>
      </c>
      <c r="C20"/>
      <c r="D20" s="77"/>
      <c r="F20" s="90">
        <f t="shared" ref="F20:K20" ca="1" si="15">F67</f>
        <v>0</v>
      </c>
      <c r="G20" s="90">
        <f t="shared" ca="1" si="15"/>
        <v>36615.833347913976</v>
      </c>
      <c r="H20" s="90">
        <f t="shared" ca="1" si="15"/>
        <v>0</v>
      </c>
      <c r="I20" s="90">
        <f t="shared" ca="1" si="15"/>
        <v>0</v>
      </c>
      <c r="J20" s="90">
        <f t="shared" ca="1" si="15"/>
        <v>0</v>
      </c>
      <c r="K20" s="90">
        <f t="shared" ca="1" si="15"/>
        <v>0</v>
      </c>
      <c r="L20" s="90">
        <f t="shared" ref="L20:AA20" ca="1" si="16">L67</f>
        <v>0</v>
      </c>
      <c r="M20" s="90">
        <f t="shared" ca="1" si="16"/>
        <v>0</v>
      </c>
      <c r="N20" s="90">
        <f t="shared" ca="1" si="16"/>
        <v>0</v>
      </c>
      <c r="O20" s="90">
        <f t="shared" ca="1" si="16"/>
        <v>0</v>
      </c>
      <c r="P20" s="90">
        <f t="shared" ca="1" si="16"/>
        <v>0</v>
      </c>
      <c r="Q20" s="90">
        <f t="shared" ca="1" si="16"/>
        <v>0</v>
      </c>
      <c r="R20" s="90">
        <f t="shared" ca="1" si="16"/>
        <v>0</v>
      </c>
      <c r="S20" s="90">
        <f t="shared" ca="1" si="16"/>
        <v>0</v>
      </c>
      <c r="T20" s="90">
        <f t="shared" ca="1" si="16"/>
        <v>0</v>
      </c>
      <c r="U20" s="90">
        <f t="shared" ca="1" si="16"/>
        <v>0</v>
      </c>
      <c r="V20" s="90">
        <f t="shared" ca="1" si="16"/>
        <v>0</v>
      </c>
      <c r="W20" s="90">
        <f t="shared" ca="1" si="16"/>
        <v>0</v>
      </c>
      <c r="X20" s="90">
        <f t="shared" ca="1" si="16"/>
        <v>0</v>
      </c>
      <c r="Y20" s="90">
        <f t="shared" ca="1" si="16"/>
        <v>0</v>
      </c>
      <c r="Z20" s="90">
        <f t="shared" ca="1" si="16"/>
        <v>0</v>
      </c>
      <c r="AA20" s="90">
        <f t="shared" ca="1" si="16"/>
        <v>0</v>
      </c>
    </row>
    <row r="21" spans="1:27" ht="15" customHeight="1" x14ac:dyDescent="0.45">
      <c r="A21" s="82"/>
      <c r="B21" t="s">
        <v>288</v>
      </c>
      <c r="C21"/>
      <c r="D21" s="77"/>
      <c r="F21" s="90">
        <f t="shared" ref="F21:K21" ca="1" si="17">SUM(F18:F20)</f>
        <v>44561.919999999998</v>
      </c>
      <c r="G21" s="90">
        <f t="shared" ca="1" si="17"/>
        <v>199543.63565275981</v>
      </c>
      <c r="H21" s="90">
        <f t="shared" ca="1" si="17"/>
        <v>0</v>
      </c>
      <c r="I21" s="90">
        <f t="shared" ca="1" si="17"/>
        <v>0</v>
      </c>
      <c r="J21" s="90">
        <f t="shared" ca="1" si="17"/>
        <v>0</v>
      </c>
      <c r="K21" s="90">
        <f t="shared" ca="1" si="17"/>
        <v>0</v>
      </c>
      <c r="L21" s="90">
        <f t="shared" ref="L21:AA21" ca="1" si="18">SUM(L18:L20)</f>
        <v>0</v>
      </c>
      <c r="M21" s="90">
        <f t="shared" ca="1" si="18"/>
        <v>0</v>
      </c>
      <c r="N21" s="90">
        <f t="shared" ca="1" si="18"/>
        <v>0</v>
      </c>
      <c r="O21" s="90">
        <f t="shared" ca="1" si="18"/>
        <v>0</v>
      </c>
      <c r="P21" s="90">
        <f t="shared" ca="1" si="18"/>
        <v>0</v>
      </c>
      <c r="Q21" s="90">
        <f t="shared" ca="1" si="18"/>
        <v>0</v>
      </c>
      <c r="R21" s="90">
        <f t="shared" ca="1" si="18"/>
        <v>0</v>
      </c>
      <c r="S21" s="90">
        <f t="shared" ca="1" si="18"/>
        <v>0</v>
      </c>
      <c r="T21" s="90">
        <f t="shared" ca="1" si="18"/>
        <v>0</v>
      </c>
      <c r="U21" s="90">
        <f t="shared" ca="1" si="18"/>
        <v>0</v>
      </c>
      <c r="V21" s="90">
        <f t="shared" ca="1" si="18"/>
        <v>0</v>
      </c>
      <c r="W21" s="90">
        <f t="shared" ca="1" si="18"/>
        <v>0</v>
      </c>
      <c r="X21" s="90">
        <f t="shared" ca="1" si="18"/>
        <v>0</v>
      </c>
      <c r="Y21" s="90">
        <f t="shared" ca="1" si="18"/>
        <v>0</v>
      </c>
      <c r="Z21" s="90">
        <f t="shared" ca="1" si="18"/>
        <v>0</v>
      </c>
      <c r="AA21" s="90">
        <f t="shared" ca="1" si="18"/>
        <v>0</v>
      </c>
    </row>
    <row r="22" spans="1:27" ht="15" customHeight="1" x14ac:dyDescent="0.45">
      <c r="A22" s="82"/>
      <c r="B22"/>
      <c r="C22"/>
      <c r="D22" s="77"/>
    </row>
    <row r="23" spans="1:27" ht="15" customHeight="1" x14ac:dyDescent="0.45">
      <c r="A23" s="82"/>
      <c r="B23" t="s">
        <v>151</v>
      </c>
      <c r="C23"/>
      <c r="D23" s="77"/>
      <c r="F23" s="90">
        <f ca="1">F21-F16</f>
        <v>0</v>
      </c>
      <c r="G23" s="90">
        <f t="shared" ref="G23:K23" ca="1" si="19">G21-G16</f>
        <v>0</v>
      </c>
      <c r="H23" s="90">
        <f t="shared" ca="1" si="19"/>
        <v>0</v>
      </c>
      <c r="I23" s="90">
        <f t="shared" ca="1" si="19"/>
        <v>0</v>
      </c>
      <c r="J23" s="90">
        <f t="shared" ca="1" si="19"/>
        <v>0</v>
      </c>
      <c r="K23" s="90">
        <f t="shared" ca="1" si="19"/>
        <v>0</v>
      </c>
      <c r="L23" s="90">
        <f t="shared" ref="L23:AA23" ca="1" si="20">L21-L16</f>
        <v>0</v>
      </c>
      <c r="M23" s="90">
        <f t="shared" ca="1" si="20"/>
        <v>0</v>
      </c>
      <c r="N23" s="90">
        <f t="shared" ca="1" si="20"/>
        <v>0</v>
      </c>
      <c r="O23" s="90">
        <f t="shared" ca="1" si="20"/>
        <v>0</v>
      </c>
      <c r="P23" s="90">
        <f t="shared" ca="1" si="20"/>
        <v>0</v>
      </c>
      <c r="Q23" s="90">
        <f t="shared" ca="1" si="20"/>
        <v>0</v>
      </c>
      <c r="R23" s="90">
        <f t="shared" ca="1" si="20"/>
        <v>0</v>
      </c>
      <c r="S23" s="90">
        <f t="shared" ca="1" si="20"/>
        <v>0</v>
      </c>
      <c r="T23" s="90">
        <f t="shared" ca="1" si="20"/>
        <v>0</v>
      </c>
      <c r="U23" s="90">
        <f t="shared" ca="1" si="20"/>
        <v>0</v>
      </c>
      <c r="V23" s="90">
        <f t="shared" ca="1" si="20"/>
        <v>0</v>
      </c>
      <c r="W23" s="90">
        <f t="shared" ca="1" si="20"/>
        <v>0</v>
      </c>
      <c r="X23" s="90">
        <f t="shared" ca="1" si="20"/>
        <v>0</v>
      </c>
      <c r="Y23" s="90">
        <f t="shared" ca="1" si="20"/>
        <v>0</v>
      </c>
      <c r="Z23" s="90">
        <f t="shared" ca="1" si="20"/>
        <v>0</v>
      </c>
      <c r="AA23" s="90">
        <f t="shared" ca="1" si="20"/>
        <v>0</v>
      </c>
    </row>
    <row r="24" spans="1:27" ht="15" customHeight="1" x14ac:dyDescent="0.45">
      <c r="A24" s="82"/>
      <c r="B24"/>
      <c r="C24"/>
      <c r="D24" s="77"/>
    </row>
    <row r="25" spans="1:27" ht="15" customHeight="1" x14ac:dyDescent="0.45">
      <c r="A25" s="82" t="s">
        <v>120</v>
      </c>
      <c r="B25"/>
      <c r="C25"/>
      <c r="D25"/>
    </row>
    <row r="26" spans="1:27" ht="15" customHeight="1" x14ac:dyDescent="0.45">
      <c r="A26" s="82"/>
      <c r="B26" t="s">
        <v>113</v>
      </c>
      <c r="C26"/>
      <c r="D26"/>
      <c r="E26" s="83">
        <v>0</v>
      </c>
      <c r="F26">
        <f>E26+1</f>
        <v>1</v>
      </c>
      <c r="G26">
        <f t="shared" ref="G26:K26" si="21">F26+1</f>
        <v>2</v>
      </c>
      <c r="H26">
        <f t="shared" si="21"/>
        <v>3</v>
      </c>
      <c r="I26">
        <f t="shared" si="21"/>
        <v>4</v>
      </c>
      <c r="J26">
        <f t="shared" si="21"/>
        <v>5</v>
      </c>
      <c r="K26">
        <f t="shared" si="21"/>
        <v>6</v>
      </c>
      <c r="L26">
        <f t="shared" ref="L26" si="22">K26+1</f>
        <v>7</v>
      </c>
      <c r="M26">
        <f t="shared" ref="M26" si="23">L26+1</f>
        <v>8</v>
      </c>
      <c r="N26">
        <f t="shared" ref="N26" si="24">M26+1</f>
        <v>9</v>
      </c>
      <c r="O26">
        <f t="shared" ref="O26" si="25">N26+1</f>
        <v>10</v>
      </c>
      <c r="P26">
        <f t="shared" ref="P26" si="26">O26+1</f>
        <v>11</v>
      </c>
      <c r="Q26">
        <f t="shared" ref="Q26" si="27">P26+1</f>
        <v>12</v>
      </c>
      <c r="R26">
        <f t="shared" ref="R26" si="28">Q26+1</f>
        <v>13</v>
      </c>
      <c r="S26">
        <f t="shared" ref="S26" si="29">R26+1</f>
        <v>14</v>
      </c>
      <c r="T26">
        <f t="shared" ref="T26" si="30">S26+1</f>
        <v>15</v>
      </c>
      <c r="U26">
        <f t="shared" ref="U26" si="31">T26+1</f>
        <v>16</v>
      </c>
      <c r="V26">
        <f t="shared" ref="V26" si="32">U26+1</f>
        <v>17</v>
      </c>
      <c r="W26">
        <f t="shared" ref="W26" si="33">V26+1</f>
        <v>18</v>
      </c>
      <c r="X26">
        <f t="shared" ref="X26" si="34">W26+1</f>
        <v>19</v>
      </c>
      <c r="Y26">
        <f t="shared" ref="Y26" si="35">X26+1</f>
        <v>20</v>
      </c>
      <c r="Z26">
        <f t="shared" ref="Z26" si="36">Y26+1</f>
        <v>21</v>
      </c>
      <c r="AA26">
        <f t="shared" ref="AA26" si="37">Z26+1</f>
        <v>22</v>
      </c>
    </row>
    <row r="27" spans="1:27" ht="15" customHeight="1" x14ac:dyDescent="0.45">
      <c r="A27" s="82"/>
      <c r="B27" t="s">
        <v>114</v>
      </c>
      <c r="C27" s="101">
        <f>'Assumptions and Outputs'!C44</f>
        <v>1</v>
      </c>
      <c r="D27" s="65">
        <f>'Assumptions and Outputs'!D44</f>
        <v>0.2</v>
      </c>
    </row>
    <row r="28" spans="1:27" ht="15" customHeight="1" x14ac:dyDescent="0.45">
      <c r="A28" s="82"/>
      <c r="B28" t="s">
        <v>115</v>
      </c>
      <c r="C28" s="101">
        <f>'Assumptions and Outputs'!C45</f>
        <v>2</v>
      </c>
      <c r="D28" s="65">
        <f>'Assumptions and Outputs'!D45</f>
        <v>0.8</v>
      </c>
    </row>
    <row r="29" spans="1:27" ht="15" customHeight="1" x14ac:dyDescent="0.45">
      <c r="A29" s="82"/>
      <c r="B29" t="s">
        <v>116</v>
      </c>
      <c r="C29"/>
      <c r="D29"/>
      <c r="F29" s="65" cm="1">
        <f t="array" ref="F29">IFERROR(INDEX($D$27:$D$28,F26),0)</f>
        <v>0.2</v>
      </c>
      <c r="G29" s="65" cm="1">
        <f t="array" ref="G29">IFERROR(INDEX($D$27:$D$28,G26),0)</f>
        <v>0.8</v>
      </c>
      <c r="H29" s="65" cm="1">
        <f t="array" ref="H29">IFERROR(INDEX($D$27:$D$28,H26),0)</f>
        <v>0</v>
      </c>
      <c r="I29" s="65" cm="1">
        <f t="array" ref="I29">IFERROR(INDEX($D$27:$D$28,I26),0)</f>
        <v>0</v>
      </c>
      <c r="J29" s="65" cm="1">
        <f t="array" ref="J29">IFERROR(INDEX($D$27:$D$28,J26),0)</f>
        <v>0</v>
      </c>
      <c r="K29" s="65" cm="1">
        <f t="array" ref="K29">IFERROR(INDEX($D$27:$D$28,K26),0)</f>
        <v>0</v>
      </c>
      <c r="L29" s="65" cm="1">
        <f t="array" ref="L29">IFERROR(INDEX($D$27:$D$28,L26),0)</f>
        <v>0</v>
      </c>
      <c r="M29" s="65" cm="1">
        <f t="array" ref="M29">IFERROR(INDEX($D$27:$D$28,M26),0)</f>
        <v>0</v>
      </c>
      <c r="N29" s="65" cm="1">
        <f t="array" ref="N29">IFERROR(INDEX($D$27:$D$28,N26),0)</f>
        <v>0</v>
      </c>
      <c r="O29" s="65" cm="1">
        <f t="array" ref="O29">IFERROR(INDEX($D$27:$D$28,O26),0)</f>
        <v>0</v>
      </c>
      <c r="P29" s="65" cm="1">
        <f t="array" ref="P29">IFERROR(INDEX($D$27:$D$28,P26),0)</f>
        <v>0</v>
      </c>
      <c r="Q29" s="65" cm="1">
        <f t="array" ref="Q29">IFERROR(INDEX($D$27:$D$28,Q26),0)</f>
        <v>0</v>
      </c>
      <c r="R29" s="65" cm="1">
        <f t="array" ref="R29">IFERROR(INDEX($D$27:$D$28,R26),0)</f>
        <v>0</v>
      </c>
      <c r="S29" s="65" cm="1">
        <f t="array" ref="S29">IFERROR(INDEX($D$27:$D$28,S26),0)</f>
        <v>0</v>
      </c>
      <c r="T29" s="65" cm="1">
        <f t="array" ref="T29">IFERROR(INDEX($D$27:$D$28,T26),0)</f>
        <v>0</v>
      </c>
      <c r="U29" s="65" cm="1">
        <f t="array" ref="U29">IFERROR(INDEX($D$27:$D$28,U26),0)</f>
        <v>0</v>
      </c>
      <c r="V29" s="65" cm="1">
        <f t="array" ref="V29">IFERROR(INDEX($D$27:$D$28,V26),0)</f>
        <v>0</v>
      </c>
      <c r="W29" s="65" cm="1">
        <f t="array" ref="W29">IFERROR(INDEX($D$27:$D$28,W26),0)</f>
        <v>0</v>
      </c>
      <c r="X29" s="65" cm="1">
        <f t="array" ref="X29">IFERROR(INDEX($D$27:$D$28,X26),0)</f>
        <v>0</v>
      </c>
      <c r="Y29" s="65" cm="1">
        <f t="array" ref="Y29">IFERROR(INDEX($D$27:$D$28,Y26),0)</f>
        <v>0</v>
      </c>
      <c r="Z29" s="65" cm="1">
        <f t="array" ref="Z29">IFERROR(INDEX($D$27:$D$28,Z26),0)</f>
        <v>0</v>
      </c>
      <c r="AA29" s="65" cm="1">
        <f t="array" ref="AA29">IFERROR(INDEX($D$27:$D$28,AA26),0)</f>
        <v>0</v>
      </c>
    </row>
    <row r="30" spans="1:27" ht="15" customHeight="1" x14ac:dyDescent="0.45">
      <c r="A30" s="82"/>
      <c r="B30" t="s">
        <v>224</v>
      </c>
      <c r="C30" t="s">
        <v>70</v>
      </c>
      <c r="D30">
        <f>'Assumptions and Outputs'!D16</f>
        <v>200</v>
      </c>
      <c r="F30">
        <f>$D$30*F29</f>
        <v>40</v>
      </c>
      <c r="G30">
        <f t="shared" ref="G30:K30" si="38">$D$30*G29</f>
        <v>160</v>
      </c>
      <c r="H30">
        <f t="shared" si="38"/>
        <v>0</v>
      </c>
      <c r="I30">
        <f t="shared" si="38"/>
        <v>0</v>
      </c>
      <c r="J30">
        <f t="shared" si="38"/>
        <v>0</v>
      </c>
      <c r="K30">
        <f t="shared" si="38"/>
        <v>0</v>
      </c>
      <c r="L30">
        <f t="shared" ref="L30:AA30" si="39">$D$30*L29</f>
        <v>0</v>
      </c>
      <c r="M30">
        <f t="shared" si="39"/>
        <v>0</v>
      </c>
      <c r="N30">
        <f t="shared" si="39"/>
        <v>0</v>
      </c>
      <c r="O30">
        <f t="shared" si="39"/>
        <v>0</v>
      </c>
      <c r="P30">
        <f t="shared" si="39"/>
        <v>0</v>
      </c>
      <c r="Q30">
        <f t="shared" si="39"/>
        <v>0</v>
      </c>
      <c r="R30">
        <f t="shared" si="39"/>
        <v>0</v>
      </c>
      <c r="S30">
        <f t="shared" si="39"/>
        <v>0</v>
      </c>
      <c r="T30">
        <f t="shared" si="39"/>
        <v>0</v>
      </c>
      <c r="U30">
        <f t="shared" si="39"/>
        <v>0</v>
      </c>
      <c r="V30">
        <f t="shared" si="39"/>
        <v>0</v>
      </c>
      <c r="W30">
        <f t="shared" si="39"/>
        <v>0</v>
      </c>
      <c r="X30">
        <f t="shared" si="39"/>
        <v>0</v>
      </c>
      <c r="Y30">
        <f t="shared" si="39"/>
        <v>0</v>
      </c>
      <c r="Z30">
        <f t="shared" si="39"/>
        <v>0</v>
      </c>
      <c r="AA30">
        <f t="shared" si="39"/>
        <v>0</v>
      </c>
    </row>
    <row r="31" spans="1:27" ht="15" customHeight="1" x14ac:dyDescent="0.45">
      <c r="A31" s="82"/>
      <c r="B31"/>
      <c r="C31"/>
      <c r="D31"/>
    </row>
    <row r="32" spans="1:27" ht="15" customHeight="1" x14ac:dyDescent="0.45">
      <c r="A32" s="82" t="s">
        <v>242</v>
      </c>
      <c r="B32"/>
      <c r="C32"/>
      <c r="D32"/>
    </row>
    <row r="33" spans="1:27" ht="15" customHeight="1" x14ac:dyDescent="0.45">
      <c r="A33" s="82"/>
      <c r="B33" t="s">
        <v>314</v>
      </c>
      <c r="C33" t="s">
        <v>315</v>
      </c>
      <c r="D33">
        <f>'Assumptions and Outputs'!D48</f>
        <v>1300</v>
      </c>
      <c r="F33">
        <f>$D$33*F10</f>
        <v>1352</v>
      </c>
      <c r="G33">
        <f t="shared" ref="G33:K33" si="40">$D$33*G10</f>
        <v>1406.0800000000002</v>
      </c>
      <c r="H33">
        <f t="shared" si="40"/>
        <v>1462.3232</v>
      </c>
      <c r="I33">
        <f t="shared" si="40"/>
        <v>1520.8161280000004</v>
      </c>
      <c r="J33">
        <f t="shared" si="40"/>
        <v>1581.6487731200004</v>
      </c>
      <c r="K33">
        <f t="shared" si="40"/>
        <v>1644.9147240448006</v>
      </c>
      <c r="L33">
        <f t="shared" ref="L33:AA33" si="41">$D$33*L10</f>
        <v>1710.7113130065927</v>
      </c>
      <c r="M33">
        <f t="shared" si="41"/>
        <v>1779.1397655268563</v>
      </c>
      <c r="N33">
        <f t="shared" si="41"/>
        <v>1850.3053561479308</v>
      </c>
      <c r="O33">
        <f t="shared" si="41"/>
        <v>1924.317570393848</v>
      </c>
      <c r="P33">
        <f t="shared" si="41"/>
        <v>2001.290273209602</v>
      </c>
      <c r="Q33">
        <f t="shared" si="41"/>
        <v>2081.3418841379862</v>
      </c>
      <c r="R33">
        <f t="shared" si="41"/>
        <v>2164.5955595035057</v>
      </c>
      <c r="S33">
        <f t="shared" si="41"/>
        <v>2251.1793818836459</v>
      </c>
      <c r="T33">
        <f t="shared" si="41"/>
        <v>2341.2265571589919</v>
      </c>
      <c r="U33">
        <f t="shared" si="41"/>
        <v>2434.8756194453517</v>
      </c>
      <c r="V33">
        <f t="shared" si="41"/>
        <v>2532.2706442231656</v>
      </c>
      <c r="W33">
        <f t="shared" si="41"/>
        <v>2633.5614699920925</v>
      </c>
      <c r="X33">
        <f t="shared" si="41"/>
        <v>2738.9039287917758</v>
      </c>
      <c r="Y33">
        <f t="shared" si="41"/>
        <v>2848.4600859434472</v>
      </c>
      <c r="Z33">
        <f t="shared" si="41"/>
        <v>2962.3984893811853</v>
      </c>
      <c r="AA33">
        <f t="shared" si="41"/>
        <v>3080.8944289564324</v>
      </c>
    </row>
    <row r="34" spans="1:27" ht="15" customHeight="1" x14ac:dyDescent="0.45">
      <c r="A34" s="82"/>
      <c r="B34" t="s">
        <v>121</v>
      </c>
      <c r="C34" t="str">
        <f>'Assumptions and Outputs'!C49</f>
        <v>% Capex</v>
      </c>
      <c r="D34" s="65">
        <f>'Assumptions and Outputs'!D49</f>
        <v>0</v>
      </c>
      <c r="F34">
        <f>F33+$D$34*F33</f>
        <v>1352</v>
      </c>
      <c r="G34">
        <f t="shared" ref="G34:K34" si="42">G33+$D$34*G33</f>
        <v>1406.0800000000002</v>
      </c>
      <c r="H34">
        <f t="shared" si="42"/>
        <v>1462.3232</v>
      </c>
      <c r="I34">
        <f t="shared" si="42"/>
        <v>1520.8161280000004</v>
      </c>
      <c r="J34">
        <f t="shared" si="42"/>
        <v>1581.6487731200004</v>
      </c>
      <c r="K34">
        <f t="shared" si="42"/>
        <v>1644.9147240448006</v>
      </c>
      <c r="L34">
        <f t="shared" ref="L34:AA34" si="43">L33+$D$34*L33</f>
        <v>1710.7113130065927</v>
      </c>
      <c r="M34">
        <f t="shared" si="43"/>
        <v>1779.1397655268563</v>
      </c>
      <c r="N34">
        <f t="shared" si="43"/>
        <v>1850.3053561479308</v>
      </c>
      <c r="O34">
        <f t="shared" si="43"/>
        <v>1924.317570393848</v>
      </c>
      <c r="P34">
        <f t="shared" si="43"/>
        <v>2001.290273209602</v>
      </c>
      <c r="Q34">
        <f t="shared" si="43"/>
        <v>2081.3418841379862</v>
      </c>
      <c r="R34">
        <f t="shared" si="43"/>
        <v>2164.5955595035057</v>
      </c>
      <c r="S34">
        <f t="shared" si="43"/>
        <v>2251.1793818836459</v>
      </c>
      <c r="T34">
        <f t="shared" si="43"/>
        <v>2341.2265571589919</v>
      </c>
      <c r="U34">
        <f t="shared" si="43"/>
        <v>2434.8756194453517</v>
      </c>
      <c r="V34">
        <f t="shared" si="43"/>
        <v>2532.2706442231656</v>
      </c>
      <c r="W34">
        <f t="shared" si="43"/>
        <v>2633.5614699920925</v>
      </c>
      <c r="X34">
        <f t="shared" si="43"/>
        <v>2738.9039287917758</v>
      </c>
      <c r="Y34">
        <f t="shared" si="43"/>
        <v>2848.4600859434472</v>
      </c>
      <c r="Z34">
        <f t="shared" si="43"/>
        <v>2962.3984893811853</v>
      </c>
      <c r="AA34">
        <f t="shared" si="43"/>
        <v>3080.8944289564324</v>
      </c>
    </row>
    <row r="35" spans="1:27" ht="15" customHeight="1" x14ac:dyDescent="0.45">
      <c r="A35" s="82"/>
      <c r="B35"/>
      <c r="C35"/>
      <c r="D35"/>
    </row>
    <row r="36" spans="1:27" ht="15" customHeight="1" x14ac:dyDescent="0.45">
      <c r="A36" s="82"/>
      <c r="B36" t="s">
        <v>119</v>
      </c>
      <c r="C36" t="s">
        <v>320</v>
      </c>
      <c r="D36" s="91">
        <f>'Assumptions and Outputs'!D51</f>
        <v>0.03</v>
      </c>
      <c r="E36" s="83">
        <v>1</v>
      </c>
      <c r="F36" s="86">
        <f>(1+$D$36)*E36</f>
        <v>1.03</v>
      </c>
      <c r="G36" s="86">
        <f t="shared" ref="G36:K36" si="44">(1+$D$36)*F36</f>
        <v>1.0609</v>
      </c>
      <c r="H36" s="86">
        <f t="shared" si="44"/>
        <v>1.092727</v>
      </c>
      <c r="I36" s="86">
        <f t="shared" si="44"/>
        <v>1.1255088100000001</v>
      </c>
      <c r="J36" s="86">
        <f t="shared" si="44"/>
        <v>1.1592740743000001</v>
      </c>
      <c r="K36" s="86">
        <f t="shared" si="44"/>
        <v>1.1940522965290001</v>
      </c>
      <c r="L36" s="86">
        <f t="shared" ref="L36" si="45">(1+$D$36)*K36</f>
        <v>1.2298738654248702</v>
      </c>
      <c r="M36" s="86">
        <f t="shared" ref="M36" si="46">(1+$D$36)*L36</f>
        <v>1.2667700813876164</v>
      </c>
      <c r="N36" s="86">
        <f t="shared" ref="N36" si="47">(1+$D$36)*M36</f>
        <v>1.3047731838292449</v>
      </c>
      <c r="O36" s="86">
        <f t="shared" ref="O36" si="48">(1+$D$36)*N36</f>
        <v>1.3439163793441222</v>
      </c>
      <c r="P36" s="86">
        <f t="shared" ref="P36" si="49">(1+$D$36)*O36</f>
        <v>1.3842338707244459</v>
      </c>
      <c r="Q36" s="86">
        <f t="shared" ref="Q36" si="50">(1+$D$36)*P36</f>
        <v>1.4257608868461793</v>
      </c>
      <c r="R36" s="86">
        <f t="shared" ref="R36" si="51">(1+$D$36)*Q36</f>
        <v>1.4685337134515648</v>
      </c>
      <c r="S36" s="86">
        <f t="shared" ref="S36" si="52">(1+$D$36)*R36</f>
        <v>1.5125897248551119</v>
      </c>
      <c r="T36" s="86">
        <f t="shared" ref="T36" si="53">(1+$D$36)*S36</f>
        <v>1.5579674166007653</v>
      </c>
      <c r="U36" s="86">
        <f t="shared" ref="U36" si="54">(1+$D$36)*T36</f>
        <v>1.6047064390987884</v>
      </c>
      <c r="V36" s="86">
        <f t="shared" ref="V36" si="55">(1+$D$36)*U36</f>
        <v>1.652847632271752</v>
      </c>
      <c r="W36" s="86">
        <f t="shared" ref="W36" si="56">(1+$D$36)*V36</f>
        <v>1.7024330612399046</v>
      </c>
      <c r="X36" s="86">
        <f t="shared" ref="X36" si="57">(1+$D$36)*W36</f>
        <v>1.7535060530771018</v>
      </c>
      <c r="Y36" s="86">
        <f t="shared" ref="Y36" si="58">(1+$D$36)*X36</f>
        <v>1.806111234669415</v>
      </c>
      <c r="Z36" s="86">
        <f t="shared" ref="Z36" si="59">(1+$D$36)*Y36</f>
        <v>1.8602945717094976</v>
      </c>
      <c r="AA36" s="86">
        <f t="shared" ref="AA36" si="60">(1+$D$36)*Z36</f>
        <v>1.9161034088607827</v>
      </c>
    </row>
    <row r="37" spans="1:27" ht="15" customHeight="1" x14ac:dyDescent="0.45">
      <c r="A37" s="82"/>
      <c r="B37" t="s">
        <v>289</v>
      </c>
      <c r="C37" t="s">
        <v>118</v>
      </c>
      <c r="D37">
        <f>'Assumptions and Outputs'!D50</f>
        <v>0.8</v>
      </c>
      <c r="F37" s="86">
        <f>$D$37*F36</f>
        <v>0.82400000000000007</v>
      </c>
      <c r="G37" s="86">
        <f t="shared" ref="G37:K37" si="61">$D$37*G36</f>
        <v>0.84872000000000003</v>
      </c>
      <c r="H37" s="86">
        <f t="shared" si="61"/>
        <v>0.8741816</v>
      </c>
      <c r="I37" s="86">
        <f t="shared" si="61"/>
        <v>0.90040704800000015</v>
      </c>
      <c r="J37" s="86">
        <f t="shared" si="61"/>
        <v>0.92741925944000014</v>
      </c>
      <c r="K37" s="86">
        <f t="shared" si="61"/>
        <v>0.95524183722320011</v>
      </c>
      <c r="L37" s="86">
        <f t="shared" ref="L37:AA37" si="62">$D$37*L36</f>
        <v>0.98389909233989625</v>
      </c>
      <c r="M37" s="86">
        <f t="shared" si="62"/>
        <v>1.0134160651100932</v>
      </c>
      <c r="N37" s="86">
        <f t="shared" si="62"/>
        <v>1.0438185470633961</v>
      </c>
      <c r="O37" s="86">
        <f t="shared" si="62"/>
        <v>1.0751331034752978</v>
      </c>
      <c r="P37" s="86">
        <f t="shared" si="62"/>
        <v>1.1073870965795567</v>
      </c>
      <c r="Q37" s="86">
        <f t="shared" si="62"/>
        <v>1.1406087094769435</v>
      </c>
      <c r="R37" s="86">
        <f t="shared" si="62"/>
        <v>1.174826970761252</v>
      </c>
      <c r="S37" s="86">
        <f t="shared" si="62"/>
        <v>1.2100717798840896</v>
      </c>
      <c r="T37" s="86">
        <f t="shared" si="62"/>
        <v>1.2463739332806123</v>
      </c>
      <c r="U37" s="86">
        <f t="shared" si="62"/>
        <v>1.2837651512790309</v>
      </c>
      <c r="V37" s="86">
        <f t="shared" si="62"/>
        <v>1.3222781058174018</v>
      </c>
      <c r="W37" s="86">
        <f t="shared" si="62"/>
        <v>1.3619464489919237</v>
      </c>
      <c r="X37" s="86">
        <f t="shared" si="62"/>
        <v>1.4028048424616815</v>
      </c>
      <c r="Y37" s="86">
        <f t="shared" si="62"/>
        <v>1.4448889877355322</v>
      </c>
      <c r="Z37" s="86">
        <f t="shared" si="62"/>
        <v>1.4882356573675981</v>
      </c>
      <c r="AA37" s="86">
        <f t="shared" si="62"/>
        <v>1.5328827270886263</v>
      </c>
    </row>
    <row r="38" spans="1:27" ht="15" customHeight="1" x14ac:dyDescent="0.45">
      <c r="A38" s="82"/>
      <c r="B38"/>
      <c r="C38"/>
      <c r="D38"/>
    </row>
    <row r="39" spans="1:27" ht="15" customHeight="1" x14ac:dyDescent="0.45">
      <c r="A39" s="82"/>
      <c r="B39" t="s">
        <v>319</v>
      </c>
      <c r="C39"/>
      <c r="D39"/>
      <c r="F39">
        <f>F34*F37</f>
        <v>1114.048</v>
      </c>
      <c r="G39">
        <f t="shared" ref="G39:K39" si="63">G34*G37</f>
        <v>1193.3682176000002</v>
      </c>
      <c r="H39">
        <f t="shared" si="63"/>
        <v>1278.3360346931202</v>
      </c>
      <c r="I39">
        <f t="shared" si="63"/>
        <v>1369.3535603632706</v>
      </c>
      <c r="J39">
        <f t="shared" si="63"/>
        <v>1466.8515338611355</v>
      </c>
      <c r="K39">
        <f t="shared" si="63"/>
        <v>1571.2913630720484</v>
      </c>
      <c r="L39">
        <f t="shared" ref="L39:AA39" si="64">L34*L37</f>
        <v>1683.1673081227786</v>
      </c>
      <c r="M39">
        <f t="shared" si="64"/>
        <v>1803.0088204611206</v>
      </c>
      <c r="N39">
        <f t="shared" si="64"/>
        <v>1931.3830484779526</v>
      </c>
      <c r="O39">
        <f t="shared" si="64"/>
        <v>2068.8975215295827</v>
      </c>
      <c r="P39">
        <f t="shared" si="64"/>
        <v>2216.2030250624889</v>
      </c>
      <c r="Q39">
        <f t="shared" si="64"/>
        <v>2373.9966804469386</v>
      </c>
      <c r="R39">
        <f t="shared" si="64"/>
        <v>2543.0252440947611</v>
      </c>
      <c r="S39">
        <f t="shared" si="64"/>
        <v>2724.0886414743081</v>
      </c>
      <c r="T39">
        <f t="shared" si="64"/>
        <v>2918.0437527472791</v>
      </c>
      <c r="U39">
        <f t="shared" si="64"/>
        <v>3125.8084679428862</v>
      </c>
      <c r="V39">
        <f t="shared" si="64"/>
        <v>3348.3660308604194</v>
      </c>
      <c r="W39">
        <f t="shared" si="64"/>
        <v>3586.7696922576811</v>
      </c>
      <c r="X39">
        <f t="shared" si="64"/>
        <v>3842.1476943464277</v>
      </c>
      <c r="Y39">
        <f t="shared" si="64"/>
        <v>4115.7086101838941</v>
      </c>
      <c r="Z39">
        <f t="shared" si="64"/>
        <v>4408.7470632289878</v>
      </c>
      <c r="AA39">
        <f t="shared" si="64"/>
        <v>4722.649854130892</v>
      </c>
    </row>
    <row r="40" spans="1:27" ht="15" customHeight="1" x14ac:dyDescent="0.45">
      <c r="A40" s="82"/>
      <c r="B40" t="s">
        <v>122</v>
      </c>
      <c r="C40"/>
      <c r="D40"/>
      <c r="F40">
        <f>F30*F39</f>
        <v>44561.919999999998</v>
      </c>
      <c r="G40">
        <f t="shared" ref="G40:K40" si="65">G30*G39</f>
        <v>190938.91481600003</v>
      </c>
      <c r="H40">
        <f t="shared" si="65"/>
        <v>0</v>
      </c>
      <c r="I40">
        <f t="shared" si="65"/>
        <v>0</v>
      </c>
      <c r="J40">
        <f t="shared" si="65"/>
        <v>0</v>
      </c>
      <c r="K40">
        <f t="shared" si="65"/>
        <v>0</v>
      </c>
      <c r="L40">
        <f t="shared" ref="L40:AA40" si="66">L30*L39</f>
        <v>0</v>
      </c>
      <c r="M40">
        <f t="shared" si="66"/>
        <v>0</v>
      </c>
      <c r="N40">
        <f t="shared" si="66"/>
        <v>0</v>
      </c>
      <c r="O40">
        <f t="shared" si="66"/>
        <v>0</v>
      </c>
      <c r="P40">
        <f t="shared" si="66"/>
        <v>0</v>
      </c>
      <c r="Q40">
        <f t="shared" si="66"/>
        <v>0</v>
      </c>
      <c r="R40">
        <f t="shared" si="66"/>
        <v>0</v>
      </c>
      <c r="S40">
        <f t="shared" si="66"/>
        <v>0</v>
      </c>
      <c r="T40">
        <f t="shared" si="66"/>
        <v>0</v>
      </c>
      <c r="U40">
        <f t="shared" si="66"/>
        <v>0</v>
      </c>
      <c r="V40">
        <f t="shared" si="66"/>
        <v>0</v>
      </c>
      <c r="W40">
        <f t="shared" si="66"/>
        <v>0</v>
      </c>
      <c r="X40">
        <f t="shared" si="66"/>
        <v>0</v>
      </c>
      <c r="Y40">
        <f t="shared" si="66"/>
        <v>0</v>
      </c>
      <c r="Z40">
        <f t="shared" si="66"/>
        <v>0</v>
      </c>
      <c r="AA40">
        <f t="shared" si="66"/>
        <v>0</v>
      </c>
    </row>
    <row r="41" spans="1:27" ht="15" customHeight="1" x14ac:dyDescent="0.45">
      <c r="A41" s="82"/>
      <c r="B41"/>
      <c r="C41"/>
      <c r="D41"/>
    </row>
    <row r="42" spans="1:27" ht="15" customHeight="1" x14ac:dyDescent="0.45">
      <c r="A42" s="96"/>
      <c r="B42" t="s">
        <v>180</v>
      </c>
      <c r="C42"/>
      <c r="D42"/>
      <c r="E42" s="94"/>
      <c r="F42" s="90">
        <f t="shared" ref="F42:K42" ca="1" si="67">IF(circ_switch=1,F74,0)</f>
        <v>0</v>
      </c>
      <c r="G42" s="90">
        <f t="shared" ca="1" si="67"/>
        <v>2868.2402789199277</v>
      </c>
      <c r="H42" s="90">
        <f t="shared" ca="1" si="67"/>
        <v>0</v>
      </c>
      <c r="I42" s="90">
        <f t="shared" ca="1" si="67"/>
        <v>0</v>
      </c>
      <c r="J42" s="90">
        <f t="shared" ca="1" si="67"/>
        <v>0</v>
      </c>
      <c r="K42" s="90">
        <f t="shared" ca="1" si="67"/>
        <v>0</v>
      </c>
      <c r="L42" s="90">
        <f t="shared" ref="L42:AA42" ca="1" si="68">IF(circ_switch=1,L74,0)</f>
        <v>0</v>
      </c>
      <c r="M42" s="90">
        <f t="shared" ca="1" si="68"/>
        <v>0</v>
      </c>
      <c r="N42" s="90">
        <f t="shared" ca="1" si="68"/>
        <v>0</v>
      </c>
      <c r="O42" s="90">
        <f t="shared" ca="1" si="68"/>
        <v>0</v>
      </c>
      <c r="P42" s="90">
        <f t="shared" ca="1" si="68"/>
        <v>0</v>
      </c>
      <c r="Q42" s="90">
        <f t="shared" ca="1" si="68"/>
        <v>0</v>
      </c>
      <c r="R42" s="90">
        <f t="shared" ca="1" si="68"/>
        <v>0</v>
      </c>
      <c r="S42" s="90">
        <f t="shared" ca="1" si="68"/>
        <v>0</v>
      </c>
      <c r="T42" s="90">
        <f t="shared" ca="1" si="68"/>
        <v>0</v>
      </c>
      <c r="U42" s="90">
        <f t="shared" ca="1" si="68"/>
        <v>0</v>
      </c>
      <c r="V42" s="90">
        <f t="shared" ca="1" si="68"/>
        <v>0</v>
      </c>
      <c r="W42" s="90">
        <f t="shared" ca="1" si="68"/>
        <v>0</v>
      </c>
      <c r="X42" s="90">
        <f t="shared" ca="1" si="68"/>
        <v>0</v>
      </c>
      <c r="Y42" s="90">
        <f t="shared" ca="1" si="68"/>
        <v>0</v>
      </c>
      <c r="Z42" s="90">
        <f t="shared" ca="1" si="68"/>
        <v>0</v>
      </c>
      <c r="AA42" s="90">
        <f t="shared" ca="1" si="68"/>
        <v>0</v>
      </c>
    </row>
    <row r="43" spans="1:27" ht="15" customHeight="1" x14ac:dyDescent="0.45">
      <c r="A43" s="82"/>
      <c r="B43" t="s">
        <v>283</v>
      </c>
      <c r="C43"/>
      <c r="D43"/>
      <c r="E43" s="94"/>
      <c r="F43" s="90">
        <f ca="1">IF(AND(F7=1,circ_switch=1),Debt!E42-Debt!F42,0)</f>
        <v>0</v>
      </c>
      <c r="G43" s="90">
        <f ca="1">IF(AND(G7=1,circ_switch=1),Debt!F42-Debt!G42,0)</f>
        <v>5736.4805578398555</v>
      </c>
      <c r="H43" s="90">
        <f>IF(AND(H7=1,circ_switch=1),Debt!G42-Debt!H42,0)</f>
        <v>0</v>
      </c>
      <c r="I43" s="90">
        <f>IF(AND(I7=1,circ_switch=1),Debt!H42-Debt!I42,0)</f>
        <v>0</v>
      </c>
      <c r="J43" s="90">
        <f>IF(AND(J7=1,circ_switch=1),Debt!I42-Debt!J42,0)</f>
        <v>0</v>
      </c>
      <c r="K43" s="90">
        <f>IF(AND(K7=1,circ_switch=1),Debt!J42-Debt!K42,0)</f>
        <v>0</v>
      </c>
      <c r="L43" s="90">
        <f>IF(AND(L7=1,circ_switch=1),Debt!K42-Debt!L42,0)</f>
        <v>0</v>
      </c>
      <c r="M43" s="90">
        <f>IF(AND(M7=1,circ_switch=1),Debt!L42-Debt!M42,0)</f>
        <v>0</v>
      </c>
      <c r="N43" s="90">
        <f>IF(AND(N7=1,circ_switch=1),Debt!M42-Debt!N42,0)</f>
        <v>0</v>
      </c>
      <c r="O43" s="90">
        <f>IF(AND(O7=1,circ_switch=1),Debt!N42-Debt!O42,0)</f>
        <v>0</v>
      </c>
      <c r="P43" s="90">
        <f>IF(AND(P7=1,circ_switch=1),Debt!O42-Debt!P42,0)</f>
        <v>0</v>
      </c>
      <c r="Q43" s="90">
        <f>IF(AND(Q7=1,circ_switch=1),Debt!P42-Debt!Q42,0)</f>
        <v>0</v>
      </c>
      <c r="R43" s="90">
        <f>IF(AND(R7=1,circ_switch=1),Debt!Q42-Debt!R42,0)</f>
        <v>0</v>
      </c>
      <c r="S43" s="90">
        <f>IF(AND(S7=1,circ_switch=1),Debt!R42-Debt!S42,0)</f>
        <v>0</v>
      </c>
      <c r="T43" s="90">
        <f>IF(AND(T7=1,circ_switch=1),Debt!S42-Debt!T42,0)</f>
        <v>0</v>
      </c>
      <c r="U43" s="90">
        <f>IF(AND(U7=1,circ_switch=1),Debt!T42-Debt!U42,0)</f>
        <v>0</v>
      </c>
      <c r="V43" s="90">
        <f>IF(AND(V7=1,circ_switch=1),Debt!U42-Debt!V42,0)</f>
        <v>0</v>
      </c>
      <c r="W43" s="90">
        <f>IF(AND(W7=1,circ_switch=1),Debt!V42-Debt!W42,0)</f>
        <v>0</v>
      </c>
      <c r="X43" s="90">
        <f>IF(AND(X7=1,circ_switch=1),Debt!W42-Debt!X42,0)</f>
        <v>0</v>
      </c>
      <c r="Y43" s="90">
        <f>IF(AND(Y7=1,circ_switch=1),Debt!X42-Debt!Y42,0)</f>
        <v>0</v>
      </c>
      <c r="Z43" s="90">
        <f>IF(AND(Z7=1,circ_switch=1),Debt!Y42-Debt!Z42,0)</f>
        <v>0</v>
      </c>
      <c r="AA43" s="90">
        <f>IF(AND(AA7=1,circ_switch=1),Debt!Z42-Debt!AA42,0)</f>
        <v>0</v>
      </c>
    </row>
    <row r="44" spans="1:27" ht="15" customHeight="1" x14ac:dyDescent="0.45">
      <c r="A44" s="82"/>
      <c r="B44"/>
      <c r="C44"/>
      <c r="D44"/>
    </row>
    <row r="45" spans="1:27" ht="15" customHeight="1" x14ac:dyDescent="0.45">
      <c r="A45" s="82"/>
      <c r="B45" t="s">
        <v>241</v>
      </c>
      <c r="C45"/>
      <c r="D45"/>
      <c r="F45">
        <f ca="1">F40+SUM(F42:F43)</f>
        <v>44561.919999999998</v>
      </c>
      <c r="G45">
        <f t="shared" ref="G45:K45" ca="1" si="69">G40+SUM(G42:G43)</f>
        <v>199543.63565275981</v>
      </c>
      <c r="H45">
        <f t="shared" ca="1" si="69"/>
        <v>0</v>
      </c>
      <c r="I45">
        <f t="shared" ca="1" si="69"/>
        <v>0</v>
      </c>
      <c r="J45">
        <f t="shared" ca="1" si="69"/>
        <v>0</v>
      </c>
      <c r="K45">
        <f t="shared" ca="1" si="69"/>
        <v>0</v>
      </c>
      <c r="L45">
        <f t="shared" ref="L45:AA45" ca="1" si="70">L40+SUM(L42:L43)</f>
        <v>0</v>
      </c>
      <c r="M45">
        <f t="shared" ca="1" si="70"/>
        <v>0</v>
      </c>
      <c r="N45">
        <f t="shared" ca="1" si="70"/>
        <v>0</v>
      </c>
      <c r="O45">
        <f t="shared" ca="1" si="70"/>
        <v>0</v>
      </c>
      <c r="P45">
        <f t="shared" ca="1" si="70"/>
        <v>0</v>
      </c>
      <c r="Q45">
        <f t="shared" ca="1" si="70"/>
        <v>0</v>
      </c>
      <c r="R45">
        <f t="shared" ca="1" si="70"/>
        <v>0</v>
      </c>
      <c r="S45">
        <f t="shared" ca="1" si="70"/>
        <v>0</v>
      </c>
      <c r="T45">
        <f t="shared" ca="1" si="70"/>
        <v>0</v>
      </c>
      <c r="U45">
        <f t="shared" ca="1" si="70"/>
        <v>0</v>
      </c>
      <c r="V45">
        <f t="shared" ca="1" si="70"/>
        <v>0</v>
      </c>
      <c r="W45">
        <f t="shared" ca="1" si="70"/>
        <v>0</v>
      </c>
      <c r="X45">
        <f t="shared" ca="1" si="70"/>
        <v>0</v>
      </c>
      <c r="Y45">
        <f t="shared" ca="1" si="70"/>
        <v>0</v>
      </c>
      <c r="Z45">
        <f t="shared" ca="1" si="70"/>
        <v>0</v>
      </c>
      <c r="AA45">
        <f t="shared" ca="1" si="70"/>
        <v>0</v>
      </c>
    </row>
    <row r="46" spans="1:27" ht="15" customHeight="1" x14ac:dyDescent="0.45">
      <c r="A46" s="82"/>
      <c r="B46"/>
      <c r="C46"/>
      <c r="D46"/>
    </row>
    <row r="47" spans="1:27" ht="15" customHeight="1" x14ac:dyDescent="0.45">
      <c r="A47" s="82" t="s">
        <v>243</v>
      </c>
      <c r="B47"/>
      <c r="C47"/>
      <c r="D47"/>
    </row>
    <row r="48" spans="1:27" ht="15" customHeight="1" x14ac:dyDescent="0.45">
      <c r="A48" s="82"/>
      <c r="B48" t="s">
        <v>181</v>
      </c>
      <c r="C48"/>
      <c r="D48"/>
      <c r="F48">
        <f>E51</f>
        <v>0</v>
      </c>
      <c r="G48">
        <f t="shared" ref="G48:K48" ca="1" si="71">F51</f>
        <v>44561.919999999998</v>
      </c>
      <c r="H48">
        <f t="shared" ca="1" si="71"/>
        <v>238369.07509491994</v>
      </c>
      <c r="I48">
        <f t="shared" ca="1" si="71"/>
        <v>226450.62134017394</v>
      </c>
      <c r="J48">
        <f t="shared" ca="1" si="71"/>
        <v>214532.16758542793</v>
      </c>
      <c r="K48">
        <f t="shared" ca="1" si="71"/>
        <v>202613.71383068193</v>
      </c>
      <c r="L48">
        <f t="shared" ref="L48" ca="1" si="72">K51</f>
        <v>190695.26007593592</v>
      </c>
      <c r="M48">
        <f t="shared" ref="M48" ca="1" si="73">L51</f>
        <v>178776.80632118991</v>
      </c>
      <c r="N48">
        <f t="shared" ref="N48" ca="1" si="74">M51</f>
        <v>166858.35256644391</v>
      </c>
      <c r="O48">
        <f t="shared" ref="O48" ca="1" si="75">N51</f>
        <v>154939.8988116979</v>
      </c>
      <c r="P48">
        <f t="shared" ref="P48" ca="1" si="76">O51</f>
        <v>143021.4450569519</v>
      </c>
      <c r="Q48">
        <f t="shared" ref="Q48" ca="1" si="77">P51</f>
        <v>131102.99130220589</v>
      </c>
      <c r="R48">
        <f t="shared" ref="R48" ca="1" si="78">Q51</f>
        <v>119184.53754745988</v>
      </c>
      <c r="S48">
        <f t="shared" ref="S48" ca="1" si="79">R51</f>
        <v>107266.08379271388</v>
      </c>
      <c r="T48">
        <f t="shared" ref="T48" ca="1" si="80">S51</f>
        <v>95347.630037967872</v>
      </c>
      <c r="U48">
        <f t="shared" ref="U48" ca="1" si="81">T51</f>
        <v>83429.176283221866</v>
      </c>
      <c r="V48">
        <f t="shared" ref="V48" ca="1" si="82">U51</f>
        <v>71510.722528475861</v>
      </c>
      <c r="W48">
        <f t="shared" ref="W48" ca="1" si="83">V51</f>
        <v>59592.268773729862</v>
      </c>
      <c r="X48">
        <f t="shared" ref="X48" ca="1" si="84">W51</f>
        <v>47673.815018983863</v>
      </c>
      <c r="Y48">
        <f t="shared" ref="Y48" ca="1" si="85">X51</f>
        <v>35755.361264237865</v>
      </c>
      <c r="Z48">
        <f t="shared" ref="Z48" ca="1" si="86">Y51</f>
        <v>23836.907509491866</v>
      </c>
      <c r="AA48">
        <f t="shared" ref="AA48" ca="1" si="87">Z51</f>
        <v>11918.453754745868</v>
      </c>
    </row>
    <row r="49" spans="1:27" ht="15" customHeight="1" x14ac:dyDescent="0.45">
      <c r="A49" s="82"/>
      <c r="B49" t="s">
        <v>317</v>
      </c>
      <c r="C49" t="s">
        <v>182</v>
      </c>
      <c r="D49" s="95">
        <f ca="1">SUM(F40:AA40)+SUM(F42:AA42)</f>
        <v>238369.07509491994</v>
      </c>
      <c r="F49">
        <f ca="1">F40+F42</f>
        <v>44561.919999999998</v>
      </c>
      <c r="G49">
        <f t="shared" ref="G49:K49" ca="1" si="88">G40+G42</f>
        <v>193807.15509491996</v>
      </c>
      <c r="H49">
        <f t="shared" ca="1" si="88"/>
        <v>0</v>
      </c>
      <c r="I49">
        <f t="shared" ca="1" si="88"/>
        <v>0</v>
      </c>
      <c r="J49">
        <f t="shared" ca="1" si="88"/>
        <v>0</v>
      </c>
      <c r="K49">
        <f t="shared" ca="1" si="88"/>
        <v>0</v>
      </c>
      <c r="L49">
        <f t="shared" ref="L49:AA49" ca="1" si="89">L40+L42</f>
        <v>0</v>
      </c>
      <c r="M49">
        <f t="shared" ca="1" si="89"/>
        <v>0</v>
      </c>
      <c r="N49">
        <f t="shared" ca="1" si="89"/>
        <v>0</v>
      </c>
      <c r="O49">
        <f t="shared" ca="1" si="89"/>
        <v>0</v>
      </c>
      <c r="P49">
        <f t="shared" ca="1" si="89"/>
        <v>0</v>
      </c>
      <c r="Q49">
        <f t="shared" ca="1" si="89"/>
        <v>0</v>
      </c>
      <c r="R49">
        <f t="shared" ca="1" si="89"/>
        <v>0</v>
      </c>
      <c r="S49">
        <f t="shared" ca="1" si="89"/>
        <v>0</v>
      </c>
      <c r="T49">
        <f t="shared" ca="1" si="89"/>
        <v>0</v>
      </c>
      <c r="U49">
        <f t="shared" ca="1" si="89"/>
        <v>0</v>
      </c>
      <c r="V49">
        <f t="shared" ca="1" si="89"/>
        <v>0</v>
      </c>
      <c r="W49">
        <f t="shared" ca="1" si="89"/>
        <v>0</v>
      </c>
      <c r="X49">
        <f t="shared" ca="1" si="89"/>
        <v>0</v>
      </c>
      <c r="Y49">
        <f t="shared" ca="1" si="89"/>
        <v>0</v>
      </c>
      <c r="Z49">
        <f t="shared" ca="1" si="89"/>
        <v>0</v>
      </c>
      <c r="AA49">
        <f t="shared" ca="1" si="89"/>
        <v>0</v>
      </c>
    </row>
    <row r="50" spans="1:27" ht="15" customHeight="1" x14ac:dyDescent="0.45">
      <c r="A50" s="82"/>
      <c r="B50" t="s">
        <v>123</v>
      </c>
      <c r="C50" t="str">
        <f>'Assumptions and Outputs'!C53</f>
        <v>% Cost</v>
      </c>
      <c r="D50" s="91">
        <f>'Assumptions and Outputs'!D53</f>
        <v>0.05</v>
      </c>
      <c r="F50">
        <f ca="1">MIN($D$49*$D$50,F48)*-1*F6</f>
        <v>0</v>
      </c>
      <c r="G50">
        <f t="shared" ref="G50:K50" ca="1" si="90">MIN($D$49*$D$50,G48)*-1*G6</f>
        <v>0</v>
      </c>
      <c r="H50">
        <f t="shared" ca="1" si="90"/>
        <v>-11918.453754745999</v>
      </c>
      <c r="I50">
        <f t="shared" ca="1" si="90"/>
        <v>-11918.453754745999</v>
      </c>
      <c r="J50">
        <f t="shared" ca="1" si="90"/>
        <v>-11918.453754745999</v>
      </c>
      <c r="K50">
        <f t="shared" ca="1" si="90"/>
        <v>-11918.453754745999</v>
      </c>
      <c r="L50">
        <f t="shared" ref="L50:AA50" ca="1" si="91">MIN($D$49*$D$50,L48)*-1*L6</f>
        <v>-11918.453754745999</v>
      </c>
      <c r="M50">
        <f t="shared" ca="1" si="91"/>
        <v>-11918.453754745999</v>
      </c>
      <c r="N50">
        <f t="shared" ca="1" si="91"/>
        <v>-11918.453754745999</v>
      </c>
      <c r="O50">
        <f t="shared" ca="1" si="91"/>
        <v>-11918.453754745999</v>
      </c>
      <c r="P50">
        <f t="shared" ca="1" si="91"/>
        <v>-11918.453754745999</v>
      </c>
      <c r="Q50">
        <f t="shared" ca="1" si="91"/>
        <v>-11918.453754745999</v>
      </c>
      <c r="R50">
        <f t="shared" ca="1" si="91"/>
        <v>-11918.453754745999</v>
      </c>
      <c r="S50">
        <f t="shared" ca="1" si="91"/>
        <v>-11918.453754745999</v>
      </c>
      <c r="T50">
        <f t="shared" ca="1" si="91"/>
        <v>-11918.453754745999</v>
      </c>
      <c r="U50">
        <f t="shared" ca="1" si="91"/>
        <v>-11918.453754745999</v>
      </c>
      <c r="V50">
        <f t="shared" ca="1" si="91"/>
        <v>-11918.453754745999</v>
      </c>
      <c r="W50">
        <f t="shared" ca="1" si="91"/>
        <v>-11918.453754745999</v>
      </c>
      <c r="X50">
        <f t="shared" ca="1" si="91"/>
        <v>-11918.453754745999</v>
      </c>
      <c r="Y50">
        <f t="shared" ca="1" si="91"/>
        <v>-11918.453754745999</v>
      </c>
      <c r="Z50">
        <f t="shared" ca="1" si="91"/>
        <v>-11918.453754745999</v>
      </c>
      <c r="AA50">
        <f t="shared" ca="1" si="91"/>
        <v>-11918.453754745868</v>
      </c>
    </row>
    <row r="51" spans="1:27" ht="15" customHeight="1" x14ac:dyDescent="0.45">
      <c r="A51" s="82"/>
      <c r="B51" t="s">
        <v>124</v>
      </c>
      <c r="C51"/>
      <c r="D51"/>
      <c r="E51" s="83">
        <v>0</v>
      </c>
      <c r="F51">
        <f ca="1">SUM(F48:F50)</f>
        <v>44561.919999999998</v>
      </c>
      <c r="G51">
        <f t="shared" ref="G51:K51" ca="1" si="92">SUM(G48:G50)</f>
        <v>238369.07509491994</v>
      </c>
      <c r="H51">
        <f t="shared" ca="1" si="92"/>
        <v>226450.62134017394</v>
      </c>
      <c r="I51">
        <f t="shared" ca="1" si="92"/>
        <v>214532.16758542793</v>
      </c>
      <c r="J51">
        <f t="shared" ca="1" si="92"/>
        <v>202613.71383068193</v>
      </c>
      <c r="K51">
        <f t="shared" ca="1" si="92"/>
        <v>190695.26007593592</v>
      </c>
      <c r="L51">
        <f t="shared" ref="L51:AA51" ca="1" si="93">SUM(L48:L50)</f>
        <v>178776.80632118991</v>
      </c>
      <c r="M51">
        <f t="shared" ca="1" si="93"/>
        <v>166858.35256644391</v>
      </c>
      <c r="N51">
        <f t="shared" ca="1" si="93"/>
        <v>154939.8988116979</v>
      </c>
      <c r="O51">
        <f t="shared" ca="1" si="93"/>
        <v>143021.4450569519</v>
      </c>
      <c r="P51">
        <f t="shared" ca="1" si="93"/>
        <v>131102.99130220589</v>
      </c>
      <c r="Q51">
        <f t="shared" ca="1" si="93"/>
        <v>119184.53754745988</v>
      </c>
      <c r="R51">
        <f t="shared" ca="1" si="93"/>
        <v>107266.08379271388</v>
      </c>
      <c r="S51">
        <f t="shared" ca="1" si="93"/>
        <v>95347.630037967872</v>
      </c>
      <c r="T51">
        <f t="shared" ca="1" si="93"/>
        <v>83429.176283221866</v>
      </c>
      <c r="U51">
        <f t="shared" ca="1" si="93"/>
        <v>71510.722528475861</v>
      </c>
      <c r="V51">
        <f t="shared" ca="1" si="93"/>
        <v>59592.268773729862</v>
      </c>
      <c r="W51">
        <f t="shared" ca="1" si="93"/>
        <v>47673.815018983863</v>
      </c>
      <c r="X51">
        <f t="shared" ca="1" si="93"/>
        <v>35755.361264237865</v>
      </c>
      <c r="Y51">
        <f t="shared" ca="1" si="93"/>
        <v>23836.907509491866</v>
      </c>
      <c r="Z51">
        <f t="shared" ca="1" si="93"/>
        <v>11918.453754745868</v>
      </c>
      <c r="AA51">
        <f t="shared" ca="1" si="93"/>
        <v>0</v>
      </c>
    </row>
    <row r="52" spans="1:27" ht="15" customHeight="1" x14ac:dyDescent="0.45">
      <c r="C52"/>
    </row>
    <row r="53" spans="1:27" ht="15" customHeight="1" x14ac:dyDescent="0.45">
      <c r="A53" s="82" t="s">
        <v>125</v>
      </c>
      <c r="B53"/>
      <c r="C53"/>
      <c r="D53"/>
    </row>
    <row r="54" spans="1:27" ht="15" customHeight="1" x14ac:dyDescent="0.45">
      <c r="A54" s="82"/>
      <c r="B54" t="s">
        <v>179</v>
      </c>
      <c r="C54" t="s">
        <v>178</v>
      </c>
      <c r="D54" s="95">
        <f ca="1">SUM(F45:AA45)</f>
        <v>244105.55565275979</v>
      </c>
    </row>
    <row r="55" spans="1:27" ht="15" customHeight="1" x14ac:dyDescent="0.45">
      <c r="A55" s="82"/>
      <c r="B55"/>
      <c r="C55" t="s">
        <v>131</v>
      </c>
      <c r="D55" s="65">
        <f>1-'Assumptions and Outputs'!D66</f>
        <v>0.5</v>
      </c>
    </row>
    <row r="56" spans="1:27" ht="15" customHeight="1" x14ac:dyDescent="0.45">
      <c r="A56" s="82"/>
      <c r="B56"/>
      <c r="C56" t="s">
        <v>129</v>
      </c>
      <c r="D56" s="95">
        <f ca="1">D54*D55</f>
        <v>122052.7778263799</v>
      </c>
    </row>
    <row r="57" spans="1:27" ht="15" customHeight="1" x14ac:dyDescent="0.45">
      <c r="A57" s="82"/>
      <c r="B57" t="s">
        <v>130</v>
      </c>
      <c r="C57"/>
      <c r="F57">
        <f ca="1">$D$56-F59</f>
        <v>122052.7778263799</v>
      </c>
      <c r="G57">
        <f t="shared" ref="G57:K57" ca="1" si="94">$D$56-G59</f>
        <v>77490.857826379899</v>
      </c>
      <c r="H57">
        <f t="shared" ca="1" si="94"/>
        <v>0</v>
      </c>
      <c r="I57">
        <f t="shared" ca="1" si="94"/>
        <v>0</v>
      </c>
      <c r="J57">
        <f t="shared" ca="1" si="94"/>
        <v>0</v>
      </c>
      <c r="K57">
        <f t="shared" ca="1" si="94"/>
        <v>0</v>
      </c>
      <c r="L57">
        <f t="shared" ref="L57:AA57" ca="1" si="95">$D$56-L59</f>
        <v>0</v>
      </c>
      <c r="M57">
        <f t="shared" ca="1" si="95"/>
        <v>0</v>
      </c>
      <c r="N57">
        <f t="shared" ca="1" si="95"/>
        <v>0</v>
      </c>
      <c r="O57">
        <f t="shared" ca="1" si="95"/>
        <v>0</v>
      </c>
      <c r="P57">
        <f t="shared" ca="1" si="95"/>
        <v>0</v>
      </c>
      <c r="Q57">
        <f t="shared" ca="1" si="95"/>
        <v>0</v>
      </c>
      <c r="R57">
        <f t="shared" ca="1" si="95"/>
        <v>0</v>
      </c>
      <c r="S57">
        <f t="shared" ca="1" si="95"/>
        <v>0</v>
      </c>
      <c r="T57">
        <f t="shared" ca="1" si="95"/>
        <v>0</v>
      </c>
      <c r="U57">
        <f t="shared" ca="1" si="95"/>
        <v>0</v>
      </c>
      <c r="V57">
        <f t="shared" ca="1" si="95"/>
        <v>0</v>
      </c>
      <c r="W57">
        <f t="shared" ca="1" si="95"/>
        <v>0</v>
      </c>
      <c r="X57">
        <f t="shared" ca="1" si="95"/>
        <v>0</v>
      </c>
      <c r="Y57">
        <f t="shared" ca="1" si="95"/>
        <v>0</v>
      </c>
      <c r="Z57">
        <f t="shared" ca="1" si="95"/>
        <v>0</v>
      </c>
      <c r="AA57">
        <f t="shared" ca="1" si="95"/>
        <v>0</v>
      </c>
    </row>
    <row r="58" spans="1:27" ht="15" customHeight="1" x14ac:dyDescent="0.45">
      <c r="A58" s="82"/>
      <c r="B58"/>
      <c r="C58"/>
    </row>
    <row r="59" spans="1:27" ht="15" customHeight="1" x14ac:dyDescent="0.45">
      <c r="A59" s="82"/>
      <c r="B59" t="s">
        <v>128</v>
      </c>
      <c r="C59"/>
      <c r="F59">
        <f>E61</f>
        <v>0</v>
      </c>
      <c r="G59">
        <f t="shared" ref="G59:K59" ca="1" si="96">F61</f>
        <v>44561.919999999998</v>
      </c>
      <c r="H59">
        <f t="shared" ca="1" si="96"/>
        <v>122052.7778263799</v>
      </c>
      <c r="I59">
        <f t="shared" ca="1" si="96"/>
        <v>122052.7778263799</v>
      </c>
      <c r="J59">
        <f t="shared" ca="1" si="96"/>
        <v>122052.7778263799</v>
      </c>
      <c r="K59">
        <f t="shared" ca="1" si="96"/>
        <v>122052.7778263799</v>
      </c>
      <c r="L59">
        <f t="shared" ref="L59" ca="1" si="97">K61</f>
        <v>122052.7778263799</v>
      </c>
      <c r="M59">
        <f t="shared" ref="M59" ca="1" si="98">L61</f>
        <v>122052.7778263799</v>
      </c>
      <c r="N59">
        <f t="shared" ref="N59" ca="1" si="99">M61</f>
        <v>122052.7778263799</v>
      </c>
      <c r="O59">
        <f t="shared" ref="O59" ca="1" si="100">N61</f>
        <v>122052.7778263799</v>
      </c>
      <c r="P59">
        <f t="shared" ref="P59" ca="1" si="101">O61</f>
        <v>122052.7778263799</v>
      </c>
      <c r="Q59">
        <f t="shared" ref="Q59" ca="1" si="102">P61</f>
        <v>122052.7778263799</v>
      </c>
      <c r="R59">
        <f t="shared" ref="R59" ca="1" si="103">Q61</f>
        <v>122052.7778263799</v>
      </c>
      <c r="S59">
        <f t="shared" ref="S59" ca="1" si="104">R61</f>
        <v>122052.7778263799</v>
      </c>
      <c r="T59">
        <f t="shared" ref="T59" ca="1" si="105">S61</f>
        <v>122052.7778263799</v>
      </c>
      <c r="U59">
        <f t="shared" ref="U59" ca="1" si="106">T61</f>
        <v>122052.7778263799</v>
      </c>
      <c r="V59">
        <f t="shared" ref="V59" ca="1" si="107">U61</f>
        <v>122052.7778263799</v>
      </c>
      <c r="W59">
        <f t="shared" ref="W59" ca="1" si="108">V61</f>
        <v>122052.7778263799</v>
      </c>
      <c r="X59">
        <f t="shared" ref="X59" ca="1" si="109">W61</f>
        <v>122052.7778263799</v>
      </c>
      <c r="Y59">
        <f t="shared" ref="Y59" ca="1" si="110">X61</f>
        <v>122052.7778263799</v>
      </c>
      <c r="Z59">
        <f t="shared" ref="Z59" ca="1" si="111">Y61</f>
        <v>122052.7778263799</v>
      </c>
      <c r="AA59">
        <f t="shared" ref="AA59" ca="1" si="112">Z61</f>
        <v>122052.7778263799</v>
      </c>
    </row>
    <row r="60" spans="1:27" ht="15" customHeight="1" x14ac:dyDescent="0.45">
      <c r="A60" s="82"/>
      <c r="B60" t="s">
        <v>126</v>
      </c>
      <c r="C60"/>
      <c r="F60">
        <f ca="1">MIN(F45,F57)</f>
        <v>44561.919999999998</v>
      </c>
      <c r="G60">
        <f t="shared" ref="G60:K60" ca="1" si="113">MIN(G45,G57)</f>
        <v>77490.857826379899</v>
      </c>
      <c r="H60">
        <f t="shared" ca="1" si="113"/>
        <v>0</v>
      </c>
      <c r="I60">
        <f t="shared" ca="1" si="113"/>
        <v>0</v>
      </c>
      <c r="J60">
        <f t="shared" ca="1" si="113"/>
        <v>0</v>
      </c>
      <c r="K60">
        <f t="shared" ca="1" si="113"/>
        <v>0</v>
      </c>
      <c r="L60">
        <f t="shared" ref="L60:AA60" ca="1" si="114">MIN(L45,L57)</f>
        <v>0</v>
      </c>
      <c r="M60">
        <f t="shared" ca="1" si="114"/>
        <v>0</v>
      </c>
      <c r="N60">
        <f t="shared" ca="1" si="114"/>
        <v>0</v>
      </c>
      <c r="O60">
        <f t="shared" ca="1" si="114"/>
        <v>0</v>
      </c>
      <c r="P60">
        <f t="shared" ca="1" si="114"/>
        <v>0</v>
      </c>
      <c r="Q60">
        <f t="shared" ca="1" si="114"/>
        <v>0</v>
      </c>
      <c r="R60">
        <f t="shared" ca="1" si="114"/>
        <v>0</v>
      </c>
      <c r="S60">
        <f t="shared" ca="1" si="114"/>
        <v>0</v>
      </c>
      <c r="T60">
        <f t="shared" ca="1" si="114"/>
        <v>0</v>
      </c>
      <c r="U60">
        <f t="shared" ca="1" si="114"/>
        <v>0</v>
      </c>
      <c r="V60">
        <f t="shared" ca="1" si="114"/>
        <v>0</v>
      </c>
      <c r="W60">
        <f t="shared" ca="1" si="114"/>
        <v>0</v>
      </c>
      <c r="X60">
        <f t="shared" ca="1" si="114"/>
        <v>0</v>
      </c>
      <c r="Y60">
        <f t="shared" ca="1" si="114"/>
        <v>0</v>
      </c>
      <c r="Z60">
        <f t="shared" ca="1" si="114"/>
        <v>0</v>
      </c>
      <c r="AA60">
        <f t="shared" ca="1" si="114"/>
        <v>0</v>
      </c>
    </row>
    <row r="61" spans="1:27" ht="15" customHeight="1" x14ac:dyDescent="0.45">
      <c r="A61" s="82"/>
      <c r="B61" t="s">
        <v>127</v>
      </c>
      <c r="C61"/>
      <c r="E61" s="83">
        <v>0</v>
      </c>
      <c r="F61">
        <f ca="1">SUM(F59:F60)</f>
        <v>44561.919999999998</v>
      </c>
      <c r="G61">
        <f t="shared" ref="G61:K61" ca="1" si="115">SUM(G59:G60)</f>
        <v>122052.7778263799</v>
      </c>
      <c r="H61">
        <f t="shared" ca="1" si="115"/>
        <v>122052.7778263799</v>
      </c>
      <c r="I61">
        <f t="shared" ca="1" si="115"/>
        <v>122052.7778263799</v>
      </c>
      <c r="J61">
        <f t="shared" ca="1" si="115"/>
        <v>122052.7778263799</v>
      </c>
      <c r="K61">
        <f t="shared" ca="1" si="115"/>
        <v>122052.7778263799</v>
      </c>
      <c r="L61">
        <f t="shared" ref="L61:AA61" ca="1" si="116">SUM(L59:L60)</f>
        <v>122052.7778263799</v>
      </c>
      <c r="M61">
        <f t="shared" ca="1" si="116"/>
        <v>122052.7778263799</v>
      </c>
      <c r="N61">
        <f t="shared" ca="1" si="116"/>
        <v>122052.7778263799</v>
      </c>
      <c r="O61">
        <f t="shared" ca="1" si="116"/>
        <v>122052.7778263799</v>
      </c>
      <c r="P61">
        <f t="shared" ca="1" si="116"/>
        <v>122052.7778263799</v>
      </c>
      <c r="Q61">
        <f t="shared" ca="1" si="116"/>
        <v>122052.7778263799</v>
      </c>
      <c r="R61">
        <f t="shared" ca="1" si="116"/>
        <v>122052.7778263799</v>
      </c>
      <c r="S61">
        <f t="shared" ca="1" si="116"/>
        <v>122052.7778263799</v>
      </c>
      <c r="T61">
        <f t="shared" ca="1" si="116"/>
        <v>122052.7778263799</v>
      </c>
      <c r="U61">
        <f t="shared" ca="1" si="116"/>
        <v>122052.7778263799</v>
      </c>
      <c r="V61">
        <f t="shared" ca="1" si="116"/>
        <v>122052.7778263799</v>
      </c>
      <c r="W61">
        <f t="shared" ca="1" si="116"/>
        <v>122052.7778263799</v>
      </c>
      <c r="X61">
        <f t="shared" ca="1" si="116"/>
        <v>122052.7778263799</v>
      </c>
      <c r="Y61">
        <f t="shared" ca="1" si="116"/>
        <v>122052.7778263799</v>
      </c>
      <c r="Z61">
        <f t="shared" ca="1" si="116"/>
        <v>122052.7778263799</v>
      </c>
      <c r="AA61">
        <f t="shared" ca="1" si="116"/>
        <v>122052.7778263799</v>
      </c>
    </row>
    <row r="62" spans="1:27" ht="15" customHeight="1" x14ac:dyDescent="0.45">
      <c r="A62" s="82"/>
      <c r="B62"/>
      <c r="C62"/>
      <c r="D62"/>
    </row>
    <row r="63" spans="1:27" ht="15" customHeight="1" x14ac:dyDescent="0.45">
      <c r="A63" s="82" t="s">
        <v>183</v>
      </c>
      <c r="B63"/>
      <c r="C63"/>
      <c r="D63"/>
    </row>
    <row r="64" spans="1:27" ht="15" customHeight="1" x14ac:dyDescent="0.45">
      <c r="A64" s="82"/>
      <c r="B64" t="s">
        <v>132</v>
      </c>
      <c r="C64"/>
      <c r="D64"/>
      <c r="F64">
        <f ca="1">F45-F60</f>
        <v>0</v>
      </c>
      <c r="G64">
        <f t="shared" ref="G64:K64" ca="1" si="117">G45-G60</f>
        <v>122052.77782637991</v>
      </c>
      <c r="H64">
        <f t="shared" ca="1" si="117"/>
        <v>0</v>
      </c>
      <c r="I64">
        <f t="shared" ca="1" si="117"/>
        <v>0</v>
      </c>
      <c r="J64">
        <f t="shared" ca="1" si="117"/>
        <v>0</v>
      </c>
      <c r="K64">
        <f t="shared" ca="1" si="117"/>
        <v>0</v>
      </c>
      <c r="L64">
        <f t="shared" ref="L64:AA64" ca="1" si="118">L45-L60</f>
        <v>0</v>
      </c>
      <c r="M64">
        <f t="shared" ca="1" si="118"/>
        <v>0</v>
      </c>
      <c r="N64">
        <f t="shared" ca="1" si="118"/>
        <v>0</v>
      </c>
      <c r="O64">
        <f t="shared" ca="1" si="118"/>
        <v>0</v>
      </c>
      <c r="P64">
        <f t="shared" ca="1" si="118"/>
        <v>0</v>
      </c>
      <c r="Q64">
        <f t="shared" ca="1" si="118"/>
        <v>0</v>
      </c>
      <c r="R64">
        <f t="shared" ca="1" si="118"/>
        <v>0</v>
      </c>
      <c r="S64">
        <f t="shared" ca="1" si="118"/>
        <v>0</v>
      </c>
      <c r="T64">
        <f t="shared" ca="1" si="118"/>
        <v>0</v>
      </c>
      <c r="U64">
        <f t="shared" ca="1" si="118"/>
        <v>0</v>
      </c>
      <c r="V64">
        <f t="shared" ca="1" si="118"/>
        <v>0</v>
      </c>
      <c r="W64">
        <f t="shared" ca="1" si="118"/>
        <v>0</v>
      </c>
      <c r="X64">
        <f t="shared" ca="1" si="118"/>
        <v>0</v>
      </c>
      <c r="Y64">
        <f t="shared" ca="1" si="118"/>
        <v>0</v>
      </c>
      <c r="Z64">
        <f t="shared" ca="1" si="118"/>
        <v>0</v>
      </c>
      <c r="AA64">
        <f t="shared" ca="1" si="118"/>
        <v>0</v>
      </c>
    </row>
    <row r="65" spans="1:27" ht="15" customHeight="1" x14ac:dyDescent="0.45">
      <c r="A65" s="82"/>
      <c r="B65"/>
      <c r="C65"/>
      <c r="D65"/>
    </row>
    <row r="66" spans="1:27" ht="15" customHeight="1" x14ac:dyDescent="0.45">
      <c r="A66" s="82"/>
      <c r="B66" t="s">
        <v>174</v>
      </c>
      <c r="C66" t="str">
        <f>'Assumptions and Outputs'!C67</f>
        <v>% Debt</v>
      </c>
      <c r="D66" s="65">
        <f>'Assumptions and Outputs'!D67</f>
        <v>0.7</v>
      </c>
      <c r="F66">
        <f ca="1">$D$66*F64</f>
        <v>0</v>
      </c>
      <c r="G66">
        <f t="shared" ref="G66:K66" ca="1" si="119">$D$66*G64</f>
        <v>85436.944478465928</v>
      </c>
      <c r="H66">
        <f t="shared" ca="1" si="119"/>
        <v>0</v>
      </c>
      <c r="I66">
        <f t="shared" ca="1" si="119"/>
        <v>0</v>
      </c>
      <c r="J66">
        <f t="shared" ca="1" si="119"/>
        <v>0</v>
      </c>
      <c r="K66">
        <f t="shared" ca="1" si="119"/>
        <v>0</v>
      </c>
      <c r="L66">
        <f t="shared" ref="L66:AA66" ca="1" si="120">$D$66*L64</f>
        <v>0</v>
      </c>
      <c r="M66">
        <f t="shared" ca="1" si="120"/>
        <v>0</v>
      </c>
      <c r="N66">
        <f t="shared" ca="1" si="120"/>
        <v>0</v>
      </c>
      <c r="O66">
        <f t="shared" ca="1" si="120"/>
        <v>0</v>
      </c>
      <c r="P66">
        <f t="shared" ca="1" si="120"/>
        <v>0</v>
      </c>
      <c r="Q66">
        <f t="shared" ca="1" si="120"/>
        <v>0</v>
      </c>
      <c r="R66">
        <f t="shared" ca="1" si="120"/>
        <v>0</v>
      </c>
      <c r="S66">
        <f t="shared" ca="1" si="120"/>
        <v>0</v>
      </c>
      <c r="T66">
        <f t="shared" ca="1" si="120"/>
        <v>0</v>
      </c>
      <c r="U66">
        <f t="shared" ca="1" si="120"/>
        <v>0</v>
      </c>
      <c r="V66">
        <f t="shared" ca="1" si="120"/>
        <v>0</v>
      </c>
      <c r="W66">
        <f t="shared" ca="1" si="120"/>
        <v>0</v>
      </c>
      <c r="X66">
        <f t="shared" ca="1" si="120"/>
        <v>0</v>
      </c>
      <c r="Y66">
        <f t="shared" ca="1" si="120"/>
        <v>0</v>
      </c>
      <c r="Z66">
        <f t="shared" ca="1" si="120"/>
        <v>0</v>
      </c>
      <c r="AA66">
        <f t="shared" ca="1" si="120"/>
        <v>0</v>
      </c>
    </row>
    <row r="67" spans="1:27" ht="15" customHeight="1" x14ac:dyDescent="0.45">
      <c r="A67" s="82"/>
      <c r="B67" t="s">
        <v>175</v>
      </c>
      <c r="C67" t="str">
        <f>'Assumptions and Outputs'!C68</f>
        <v>% Debt</v>
      </c>
      <c r="D67" s="65">
        <f>'Assumptions and Outputs'!D68</f>
        <v>0.30000000000000004</v>
      </c>
      <c r="F67">
        <f ca="1">$D$67*F64</f>
        <v>0</v>
      </c>
      <c r="G67">
        <f t="shared" ref="G67:K67" ca="1" si="121">$D$67*G64</f>
        <v>36615.833347913976</v>
      </c>
      <c r="H67">
        <f t="shared" ca="1" si="121"/>
        <v>0</v>
      </c>
      <c r="I67">
        <f t="shared" ca="1" si="121"/>
        <v>0</v>
      </c>
      <c r="J67">
        <f t="shared" ca="1" si="121"/>
        <v>0</v>
      </c>
      <c r="K67">
        <f t="shared" ca="1" si="121"/>
        <v>0</v>
      </c>
      <c r="L67">
        <f t="shared" ref="L67:AA67" ca="1" si="122">$D$67*L64</f>
        <v>0</v>
      </c>
      <c r="M67">
        <f t="shared" ca="1" si="122"/>
        <v>0</v>
      </c>
      <c r="N67">
        <f t="shared" ca="1" si="122"/>
        <v>0</v>
      </c>
      <c r="O67">
        <f t="shared" ca="1" si="122"/>
        <v>0</v>
      </c>
      <c r="P67">
        <f t="shared" ca="1" si="122"/>
        <v>0</v>
      </c>
      <c r="Q67">
        <f t="shared" ca="1" si="122"/>
        <v>0</v>
      </c>
      <c r="R67">
        <f t="shared" ca="1" si="122"/>
        <v>0</v>
      </c>
      <c r="S67">
        <f t="shared" ca="1" si="122"/>
        <v>0</v>
      </c>
      <c r="T67">
        <f t="shared" ca="1" si="122"/>
        <v>0</v>
      </c>
      <c r="U67">
        <f t="shared" ca="1" si="122"/>
        <v>0</v>
      </c>
      <c r="V67">
        <f t="shared" ca="1" si="122"/>
        <v>0</v>
      </c>
      <c r="W67">
        <f t="shared" ca="1" si="122"/>
        <v>0</v>
      </c>
      <c r="X67">
        <f t="shared" ca="1" si="122"/>
        <v>0</v>
      </c>
      <c r="Y67">
        <f t="shared" ca="1" si="122"/>
        <v>0</v>
      </c>
      <c r="Z67">
        <f t="shared" ca="1" si="122"/>
        <v>0</v>
      </c>
      <c r="AA67">
        <f t="shared" ca="1" si="122"/>
        <v>0</v>
      </c>
    </row>
    <row r="68" spans="1:27" ht="15" customHeight="1" x14ac:dyDescent="0.45">
      <c r="A68" s="82"/>
      <c r="B68"/>
      <c r="C68"/>
      <c r="D68" s="65"/>
    </row>
    <row r="69" spans="1:27" ht="15" customHeight="1" x14ac:dyDescent="0.45">
      <c r="A69" s="82"/>
      <c r="B69" t="s">
        <v>173</v>
      </c>
      <c r="C69"/>
      <c r="D69" s="65"/>
      <c r="F69">
        <f ca="1">SUM($F66:F66)</f>
        <v>0</v>
      </c>
      <c r="G69">
        <f ca="1">SUM($F66:G66)</f>
        <v>85436.944478465928</v>
      </c>
      <c r="H69">
        <f ca="1">SUM($F66:H66)</f>
        <v>85436.944478465928</v>
      </c>
      <c r="I69">
        <f ca="1">SUM($F66:I66)</f>
        <v>85436.944478465928</v>
      </c>
      <c r="J69">
        <f ca="1">SUM($F66:J66)</f>
        <v>85436.944478465928</v>
      </c>
      <c r="K69">
        <f ca="1">SUM($F66:K66)</f>
        <v>85436.944478465928</v>
      </c>
      <c r="L69">
        <f ca="1">SUM($F66:L66)</f>
        <v>85436.944478465928</v>
      </c>
      <c r="M69">
        <f ca="1">SUM($F66:M66)</f>
        <v>85436.944478465928</v>
      </c>
      <c r="N69">
        <f ca="1">SUM($F66:N66)</f>
        <v>85436.944478465928</v>
      </c>
      <c r="O69">
        <f ca="1">SUM($F66:O66)</f>
        <v>85436.944478465928</v>
      </c>
      <c r="P69">
        <f ca="1">SUM($F66:P66)</f>
        <v>85436.944478465928</v>
      </c>
      <c r="Q69">
        <f ca="1">SUM($F66:Q66)</f>
        <v>85436.944478465928</v>
      </c>
      <c r="R69">
        <f ca="1">SUM($F66:R66)</f>
        <v>85436.944478465928</v>
      </c>
      <c r="S69">
        <f ca="1">SUM($F66:S66)</f>
        <v>85436.944478465928</v>
      </c>
      <c r="T69">
        <f ca="1">SUM($F66:T66)</f>
        <v>85436.944478465928</v>
      </c>
      <c r="U69">
        <f ca="1">SUM($F66:U66)</f>
        <v>85436.944478465928</v>
      </c>
      <c r="V69">
        <f ca="1">SUM($F66:V66)</f>
        <v>85436.944478465928</v>
      </c>
      <c r="W69">
        <f ca="1">SUM($F66:W66)</f>
        <v>85436.944478465928</v>
      </c>
      <c r="X69">
        <f ca="1">SUM($F66:X66)</f>
        <v>85436.944478465928</v>
      </c>
      <c r="Y69">
        <f ca="1">SUM($F66:Y66)</f>
        <v>85436.944478465928</v>
      </c>
      <c r="Z69">
        <f ca="1">SUM($F66:Z66)</f>
        <v>85436.944478465928</v>
      </c>
      <c r="AA69">
        <f ca="1">SUM($F66:AA66)</f>
        <v>85436.944478465928</v>
      </c>
    </row>
    <row r="70" spans="1:27" ht="15" customHeight="1" x14ac:dyDescent="0.45">
      <c r="A70" s="82"/>
      <c r="B70" t="s">
        <v>176</v>
      </c>
      <c r="C70"/>
      <c r="D70" s="65"/>
      <c r="F70">
        <f ca="1">SUM($F67:F67)</f>
        <v>0</v>
      </c>
      <c r="G70">
        <f ca="1">SUM($F67:G67)</f>
        <v>36615.833347913976</v>
      </c>
      <c r="H70">
        <f ca="1">SUM($F67:H67)</f>
        <v>36615.833347913976</v>
      </c>
      <c r="I70">
        <f ca="1">SUM($F67:I67)</f>
        <v>36615.833347913976</v>
      </c>
      <c r="J70">
        <f ca="1">SUM($F67:J67)</f>
        <v>36615.833347913976</v>
      </c>
      <c r="K70">
        <f ca="1">SUM($F67:K67)</f>
        <v>36615.833347913976</v>
      </c>
      <c r="L70">
        <f ca="1">SUM($F67:L67)</f>
        <v>36615.833347913976</v>
      </c>
      <c r="M70">
        <f ca="1">SUM($F67:M67)</f>
        <v>36615.833347913976</v>
      </c>
      <c r="N70">
        <f ca="1">SUM($F67:N67)</f>
        <v>36615.833347913976</v>
      </c>
      <c r="O70">
        <f ca="1">SUM($F67:O67)</f>
        <v>36615.833347913976</v>
      </c>
      <c r="P70">
        <f ca="1">SUM($F67:P67)</f>
        <v>36615.833347913976</v>
      </c>
      <c r="Q70">
        <f ca="1">SUM($F67:Q67)</f>
        <v>36615.833347913976</v>
      </c>
      <c r="R70">
        <f ca="1">SUM($F67:R67)</f>
        <v>36615.833347913976</v>
      </c>
      <c r="S70">
        <f ca="1">SUM($F67:S67)</f>
        <v>36615.833347913976</v>
      </c>
      <c r="T70">
        <f ca="1">SUM($F67:T67)</f>
        <v>36615.833347913976</v>
      </c>
      <c r="U70">
        <f ca="1">SUM($F67:U67)</f>
        <v>36615.833347913976</v>
      </c>
      <c r="V70">
        <f ca="1">SUM($F67:V67)</f>
        <v>36615.833347913976</v>
      </c>
      <c r="W70">
        <f ca="1">SUM($F67:W67)</f>
        <v>36615.833347913976</v>
      </c>
      <c r="X70">
        <f ca="1">SUM($F67:X67)</f>
        <v>36615.833347913976</v>
      </c>
      <c r="Y70">
        <f ca="1">SUM($F67:Y67)</f>
        <v>36615.833347913976</v>
      </c>
      <c r="Z70">
        <f ca="1">SUM($F67:Z67)</f>
        <v>36615.833347913976</v>
      </c>
      <c r="AA70">
        <f ca="1">SUM($F67:AA67)</f>
        <v>36615.833347913976</v>
      </c>
    </row>
    <row r="71" spans="1:27" ht="15" customHeight="1" x14ac:dyDescent="0.45">
      <c r="A71" s="82"/>
      <c r="B71"/>
      <c r="C71"/>
      <c r="D71"/>
    </row>
    <row r="72" spans="1:27" ht="15" customHeight="1" x14ac:dyDescent="0.45">
      <c r="B72" t="s">
        <v>170</v>
      </c>
      <c r="C72" t="s">
        <v>172</v>
      </c>
      <c r="D72" s="92">
        <f>'Assumptions and Outputs'!D73</f>
        <v>3.7999999999999999E-2</v>
      </c>
      <c r="F72">
        <f ca="1">$D72*AVERAGE(E69,F69)*F$7</f>
        <v>0</v>
      </c>
      <c r="G72">
        <f t="shared" ref="G72:K73" ca="1" si="123">$D72*AVERAGE(F69,G69)*G$7</f>
        <v>1623.3019450908525</v>
      </c>
      <c r="H72">
        <f t="shared" ca="1" si="123"/>
        <v>0</v>
      </c>
      <c r="I72">
        <f t="shared" ca="1" si="123"/>
        <v>0</v>
      </c>
      <c r="J72">
        <f t="shared" ca="1" si="123"/>
        <v>0</v>
      </c>
      <c r="K72">
        <f t="shared" ca="1" si="123"/>
        <v>0</v>
      </c>
      <c r="L72">
        <f t="shared" ref="L72:L73" ca="1" si="124">$D72*AVERAGE(K69,L69)*L$7</f>
        <v>0</v>
      </c>
      <c r="M72">
        <f t="shared" ref="M72:M73" ca="1" si="125">$D72*AVERAGE(L69,M69)*M$7</f>
        <v>0</v>
      </c>
      <c r="N72">
        <f t="shared" ref="N72:N73" ca="1" si="126">$D72*AVERAGE(M69,N69)*N$7</f>
        <v>0</v>
      </c>
      <c r="O72">
        <f t="shared" ref="O72:O73" ca="1" si="127">$D72*AVERAGE(N69,O69)*O$7</f>
        <v>0</v>
      </c>
      <c r="P72">
        <f t="shared" ref="P72:P73" ca="1" si="128">$D72*AVERAGE(O69,P69)*P$7</f>
        <v>0</v>
      </c>
      <c r="Q72">
        <f t="shared" ref="Q72:Q73" ca="1" si="129">$D72*AVERAGE(P69,Q69)*Q$7</f>
        <v>0</v>
      </c>
      <c r="R72">
        <f t="shared" ref="R72:R73" ca="1" si="130">$D72*AVERAGE(Q69,R69)*R$7</f>
        <v>0</v>
      </c>
      <c r="S72">
        <f t="shared" ref="S72:S73" ca="1" si="131">$D72*AVERAGE(R69,S69)*S$7</f>
        <v>0</v>
      </c>
      <c r="T72">
        <f t="shared" ref="T72:T73" ca="1" si="132">$D72*AVERAGE(S69,T69)*T$7</f>
        <v>0</v>
      </c>
      <c r="U72">
        <f t="shared" ref="U72:U73" ca="1" si="133">$D72*AVERAGE(T69,U69)*U$7</f>
        <v>0</v>
      </c>
      <c r="V72">
        <f t="shared" ref="V72:V73" ca="1" si="134">$D72*AVERAGE(U69,V69)*V$7</f>
        <v>0</v>
      </c>
      <c r="W72">
        <f t="shared" ref="W72:W73" ca="1" si="135">$D72*AVERAGE(V69,W69)*W$7</f>
        <v>0</v>
      </c>
      <c r="X72">
        <f t="shared" ref="X72:X73" ca="1" si="136">$D72*AVERAGE(W69,X69)*X$7</f>
        <v>0</v>
      </c>
      <c r="Y72">
        <f t="shared" ref="Y72:Y73" ca="1" si="137">$D72*AVERAGE(X69,Y69)*Y$7</f>
        <v>0</v>
      </c>
      <c r="Z72">
        <f t="shared" ref="Z72:Z73" ca="1" si="138">$D72*AVERAGE(Y69,Z69)*Z$7</f>
        <v>0</v>
      </c>
      <c r="AA72">
        <f t="shared" ref="AA72:AA73" ca="1" si="139">$D72*AVERAGE(Z69,AA69)*AA$7</f>
        <v>0</v>
      </c>
    </row>
    <row r="73" spans="1:27" ht="15" customHeight="1" x14ac:dyDescent="0.45">
      <c r="A73" s="82"/>
      <c r="B73" t="s">
        <v>171</v>
      </c>
      <c r="C73" t="s">
        <v>172</v>
      </c>
      <c r="D73" s="65">
        <f>'Assumptions and Outputs'!D75</f>
        <v>6.8000000000000005E-2</v>
      </c>
      <c r="F73">
        <f ca="1">$D73*AVERAGE(E70,F70)*F$7</f>
        <v>0</v>
      </c>
      <c r="G73">
        <f t="shared" ca="1" si="123"/>
        <v>1244.9383338290752</v>
      </c>
      <c r="H73">
        <f t="shared" ca="1" si="123"/>
        <v>0</v>
      </c>
      <c r="I73">
        <f t="shared" ca="1" si="123"/>
        <v>0</v>
      </c>
      <c r="J73">
        <f t="shared" ca="1" si="123"/>
        <v>0</v>
      </c>
      <c r="K73">
        <f t="shared" ca="1" si="123"/>
        <v>0</v>
      </c>
      <c r="L73">
        <f t="shared" ca="1" si="124"/>
        <v>0</v>
      </c>
      <c r="M73">
        <f t="shared" ca="1" si="125"/>
        <v>0</v>
      </c>
      <c r="N73">
        <f t="shared" ca="1" si="126"/>
        <v>0</v>
      </c>
      <c r="O73">
        <f t="shared" ca="1" si="127"/>
        <v>0</v>
      </c>
      <c r="P73">
        <f t="shared" ca="1" si="128"/>
        <v>0</v>
      </c>
      <c r="Q73">
        <f t="shared" ca="1" si="129"/>
        <v>0</v>
      </c>
      <c r="R73">
        <f t="shared" ca="1" si="130"/>
        <v>0</v>
      </c>
      <c r="S73">
        <f t="shared" ca="1" si="131"/>
        <v>0</v>
      </c>
      <c r="T73">
        <f t="shared" ca="1" si="132"/>
        <v>0</v>
      </c>
      <c r="U73">
        <f t="shared" ca="1" si="133"/>
        <v>0</v>
      </c>
      <c r="V73">
        <f t="shared" ca="1" si="134"/>
        <v>0</v>
      </c>
      <c r="W73">
        <f t="shared" ca="1" si="135"/>
        <v>0</v>
      </c>
      <c r="X73">
        <f t="shared" ca="1" si="136"/>
        <v>0</v>
      </c>
      <c r="Y73">
        <f t="shared" ca="1" si="137"/>
        <v>0</v>
      </c>
      <c r="Z73">
        <f t="shared" ca="1" si="138"/>
        <v>0</v>
      </c>
      <c r="AA73">
        <f t="shared" ca="1" si="139"/>
        <v>0</v>
      </c>
    </row>
    <row r="74" spans="1:27" ht="15" customHeight="1" x14ac:dyDescent="0.45">
      <c r="A74" s="82"/>
      <c r="B74" t="s">
        <v>177</v>
      </c>
      <c r="C74"/>
      <c r="D74"/>
      <c r="F74">
        <f ca="1">SUM(F72:F73)</f>
        <v>0</v>
      </c>
      <c r="G74">
        <f t="shared" ref="G74:K74" ca="1" si="140">SUM(G72:G73)</f>
        <v>2868.2402789199277</v>
      </c>
      <c r="H74">
        <f t="shared" ca="1" si="140"/>
        <v>0</v>
      </c>
      <c r="I74">
        <f t="shared" ca="1" si="140"/>
        <v>0</v>
      </c>
      <c r="J74">
        <f t="shared" ca="1" si="140"/>
        <v>0</v>
      </c>
      <c r="K74">
        <f t="shared" ca="1" si="140"/>
        <v>0</v>
      </c>
      <c r="L74">
        <f t="shared" ref="L74:AA74" ca="1" si="141">SUM(L72:L73)</f>
        <v>0</v>
      </c>
      <c r="M74">
        <f t="shared" ca="1" si="141"/>
        <v>0</v>
      </c>
      <c r="N74">
        <f t="shared" ca="1" si="141"/>
        <v>0</v>
      </c>
      <c r="O74">
        <f t="shared" ca="1" si="141"/>
        <v>0</v>
      </c>
      <c r="P74">
        <f t="shared" ca="1" si="141"/>
        <v>0</v>
      </c>
      <c r="Q74">
        <f t="shared" ca="1" si="141"/>
        <v>0</v>
      </c>
      <c r="R74">
        <f t="shared" ca="1" si="141"/>
        <v>0</v>
      </c>
      <c r="S74">
        <f t="shared" ca="1" si="141"/>
        <v>0</v>
      </c>
      <c r="T74">
        <f t="shared" ca="1" si="141"/>
        <v>0</v>
      </c>
      <c r="U74">
        <f t="shared" ca="1" si="141"/>
        <v>0</v>
      </c>
      <c r="V74">
        <f t="shared" ca="1" si="141"/>
        <v>0</v>
      </c>
      <c r="W74">
        <f t="shared" ca="1" si="141"/>
        <v>0</v>
      </c>
      <c r="X74">
        <f t="shared" ca="1" si="141"/>
        <v>0</v>
      </c>
      <c r="Y74">
        <f t="shared" ca="1" si="141"/>
        <v>0</v>
      </c>
      <c r="Z74">
        <f t="shared" ca="1" si="141"/>
        <v>0</v>
      </c>
      <c r="AA74">
        <f t="shared" ca="1" si="141"/>
        <v>0</v>
      </c>
    </row>
    <row r="75" spans="1:27" ht="15" customHeight="1" x14ac:dyDescent="0.45">
      <c r="A75" s="82"/>
      <c r="B75"/>
      <c r="C75"/>
      <c r="D75"/>
    </row>
    <row r="76" spans="1:27" ht="15" customHeight="1" x14ac:dyDescent="0.45">
      <c r="A76" s="59" t="s">
        <v>43</v>
      </c>
      <c r="B76"/>
      <c r="C76"/>
      <c r="D76"/>
    </row>
    <row r="77" spans="1:27" ht="15" customHeight="1" x14ac:dyDescent="0.45">
      <c r="A77" s="82"/>
      <c r="B77"/>
      <c r="C77"/>
      <c r="D77"/>
    </row>
    <row r="78" spans="1:27" ht="15" customHeight="1" x14ac:dyDescent="0.45">
      <c r="A78" s="82"/>
      <c r="B78"/>
      <c r="C78"/>
      <c r="D78"/>
    </row>
    <row r="79" spans="1:27" ht="15" customHeight="1" x14ac:dyDescent="0.45">
      <c r="A79" s="82"/>
      <c r="B79"/>
      <c r="C79"/>
      <c r="D79"/>
    </row>
    <row r="80" spans="1:27" ht="15" customHeight="1" x14ac:dyDescent="0.45">
      <c r="A80" s="82"/>
      <c r="B80"/>
      <c r="C80"/>
      <c r="D80"/>
    </row>
    <row r="81" spans="1:4" ht="15" customHeight="1" x14ac:dyDescent="0.45">
      <c r="A81" s="82"/>
      <c r="B81"/>
      <c r="C81"/>
      <c r="D81"/>
    </row>
    <row r="82" spans="1:4" ht="15" customHeight="1" x14ac:dyDescent="0.45">
      <c r="A82" s="82"/>
      <c r="B82"/>
      <c r="C82" s="77"/>
      <c r="D82"/>
    </row>
    <row r="83" spans="1:4" ht="15" customHeight="1" x14ac:dyDescent="0.45">
      <c r="A83" s="82"/>
      <c r="B83"/>
      <c r="C83" s="77"/>
      <c r="D83"/>
    </row>
    <row r="84" spans="1:4" ht="15" customHeight="1" x14ac:dyDescent="0.45">
      <c r="A84" s="82"/>
      <c r="B84"/>
      <c r="C84" s="77"/>
      <c r="D84"/>
    </row>
    <row r="85" spans="1:4" ht="15" customHeight="1" x14ac:dyDescent="0.45">
      <c r="A85" s="82"/>
      <c r="B85"/>
      <c r="C85" s="77"/>
      <c r="D85"/>
    </row>
    <row r="86" spans="1:4" ht="15" customHeight="1" x14ac:dyDescent="0.45">
      <c r="A86" s="82"/>
      <c r="B86"/>
      <c r="C86" s="77"/>
      <c r="D86"/>
    </row>
    <row r="87" spans="1:4" ht="15" customHeight="1" x14ac:dyDescent="0.45">
      <c r="A87" s="82"/>
      <c r="B87"/>
      <c r="C87" s="77"/>
      <c r="D87"/>
    </row>
    <row r="88" spans="1:4" ht="15" customHeight="1" x14ac:dyDescent="0.45">
      <c r="A88" s="82"/>
      <c r="B88"/>
      <c r="C88" s="77"/>
      <c r="D88"/>
    </row>
    <row r="89" spans="1:4" ht="15" customHeight="1" x14ac:dyDescent="0.45">
      <c r="A89" s="82"/>
      <c r="B89"/>
      <c r="C89" s="77"/>
      <c r="D89"/>
    </row>
    <row r="90" spans="1:4" ht="15" customHeight="1" x14ac:dyDescent="0.45">
      <c r="A90" s="82"/>
      <c r="B90"/>
      <c r="C90" s="77"/>
      <c r="D90"/>
    </row>
    <row r="91" spans="1:4" ht="15" customHeight="1" x14ac:dyDescent="0.45">
      <c r="A91" s="82"/>
      <c r="B91"/>
      <c r="C91" s="77"/>
      <c r="D91"/>
    </row>
    <row r="92" spans="1:4" ht="15" customHeight="1" x14ac:dyDescent="0.45">
      <c r="A92" s="82"/>
      <c r="B92"/>
      <c r="C92" s="77"/>
      <c r="D92"/>
    </row>
    <row r="93" spans="1:4" ht="15" customHeight="1" x14ac:dyDescent="0.45">
      <c r="A93" s="82"/>
      <c r="B93"/>
      <c r="C93" s="77"/>
      <c r="D93"/>
    </row>
    <row r="94" spans="1:4" ht="15" customHeight="1" x14ac:dyDescent="0.45">
      <c r="A94" s="82"/>
      <c r="B94"/>
      <c r="C94" s="77"/>
      <c r="D94"/>
    </row>
    <row r="95" spans="1:4" ht="15" customHeight="1" x14ac:dyDescent="0.45">
      <c r="A95" s="82"/>
      <c r="B95"/>
      <c r="C95" s="77"/>
      <c r="D95"/>
    </row>
    <row r="96" spans="1:4" ht="15" customHeight="1" x14ac:dyDescent="0.45">
      <c r="A96" s="82"/>
      <c r="B96"/>
      <c r="C96" s="77"/>
      <c r="D96"/>
    </row>
    <row r="97" spans="1:4" ht="15" customHeight="1" x14ac:dyDescent="0.45">
      <c r="A97" s="82"/>
      <c r="B97"/>
      <c r="C97" s="77"/>
      <c r="D97"/>
    </row>
    <row r="98" spans="1:4" ht="15" customHeight="1" x14ac:dyDescent="0.45">
      <c r="A98" s="82"/>
      <c r="B98"/>
      <c r="C98" s="77"/>
      <c r="D98"/>
    </row>
    <row r="99" spans="1:4" ht="15" customHeight="1" x14ac:dyDescent="0.45">
      <c r="A99" s="82"/>
      <c r="B99"/>
      <c r="C99" s="77"/>
      <c r="D99"/>
    </row>
    <row r="100" spans="1:4" ht="15" customHeight="1" x14ac:dyDescent="0.45">
      <c r="A100" s="82"/>
      <c r="B100"/>
      <c r="C100" s="77"/>
      <c r="D100"/>
    </row>
    <row r="101" spans="1:4" ht="15" customHeight="1" x14ac:dyDescent="0.45">
      <c r="A101" s="82"/>
      <c r="B101"/>
      <c r="C101" s="77"/>
      <c r="D101"/>
    </row>
    <row r="102" spans="1:4" ht="15" customHeight="1" x14ac:dyDescent="0.45">
      <c r="A102" s="82"/>
      <c r="B102"/>
      <c r="C102" s="77"/>
      <c r="D102"/>
    </row>
    <row r="103" spans="1:4" ht="15" customHeight="1" x14ac:dyDescent="0.45">
      <c r="A103" s="82"/>
      <c r="B103"/>
      <c r="C103" s="77"/>
      <c r="D103"/>
    </row>
    <row r="104" spans="1:4" ht="15" customHeight="1" x14ac:dyDescent="0.45">
      <c r="A104" s="82"/>
      <c r="B104"/>
      <c r="C104" s="77"/>
      <c r="D104"/>
    </row>
    <row r="105" spans="1:4" ht="15" customHeight="1" x14ac:dyDescent="0.45">
      <c r="A105" s="82"/>
      <c r="B105"/>
      <c r="C105" s="77"/>
      <c r="D105"/>
    </row>
    <row r="106" spans="1:4" ht="15" customHeight="1" x14ac:dyDescent="0.45">
      <c r="A106" s="82"/>
      <c r="B106"/>
      <c r="C106" s="77"/>
      <c r="D106"/>
    </row>
    <row r="107" spans="1:4" ht="15" customHeight="1" x14ac:dyDescent="0.45">
      <c r="A107" s="82"/>
      <c r="B107"/>
      <c r="C107" s="77"/>
      <c r="D107"/>
    </row>
    <row r="108" spans="1:4" ht="15" customHeight="1" x14ac:dyDescent="0.45">
      <c r="A108" s="82"/>
      <c r="B108"/>
      <c r="C108" s="77"/>
      <c r="D108"/>
    </row>
    <row r="109" spans="1:4" ht="15" customHeight="1" x14ac:dyDescent="0.45">
      <c r="A109" s="82"/>
      <c r="B109"/>
      <c r="C109" s="77"/>
      <c r="D109"/>
    </row>
    <row r="110" spans="1:4" ht="15" customHeight="1" x14ac:dyDescent="0.45">
      <c r="A110" s="82"/>
      <c r="B110"/>
      <c r="C110" s="77"/>
      <c r="D110"/>
    </row>
    <row r="111" spans="1:4" ht="15" customHeight="1" x14ac:dyDescent="0.45">
      <c r="A111" s="82"/>
      <c r="B111"/>
      <c r="C111" s="77"/>
      <c r="D111"/>
    </row>
    <row r="112" spans="1:4" ht="15" customHeight="1" x14ac:dyDescent="0.45">
      <c r="A112" s="82"/>
      <c r="B112"/>
      <c r="C112" s="77"/>
      <c r="D112"/>
    </row>
    <row r="113" spans="1:4" ht="15" customHeight="1" x14ac:dyDescent="0.45">
      <c r="A113" s="82"/>
      <c r="B113"/>
      <c r="C113" s="77"/>
      <c r="D113"/>
    </row>
    <row r="114" spans="1:4" ht="15" customHeight="1" x14ac:dyDescent="0.45">
      <c r="A114" s="82"/>
      <c r="B114"/>
      <c r="C114" s="77"/>
      <c r="D114"/>
    </row>
    <row r="115" spans="1:4" ht="15" customHeight="1" x14ac:dyDescent="0.45">
      <c r="A115" s="82"/>
      <c r="B115"/>
      <c r="C115" s="77"/>
      <c r="D115"/>
    </row>
    <row r="116" spans="1:4" ht="15" customHeight="1" x14ac:dyDescent="0.45">
      <c r="A116" s="82"/>
      <c r="B116"/>
      <c r="C116" s="77"/>
      <c r="D116"/>
    </row>
    <row r="117" spans="1:4" ht="15" customHeight="1" x14ac:dyDescent="0.45">
      <c r="A117" s="82"/>
      <c r="B117"/>
      <c r="C117" s="77"/>
      <c r="D117"/>
    </row>
    <row r="118" spans="1:4" ht="15" customHeight="1" x14ac:dyDescent="0.45">
      <c r="A118" s="82"/>
      <c r="B118"/>
      <c r="C118" s="77"/>
      <c r="D118"/>
    </row>
    <row r="119" spans="1:4" ht="15" customHeight="1" x14ac:dyDescent="0.45">
      <c r="A119" s="82"/>
      <c r="B119"/>
      <c r="C119" s="77"/>
      <c r="D119"/>
    </row>
    <row r="120" spans="1:4" ht="15" customHeight="1" x14ac:dyDescent="0.45">
      <c r="A120" s="82"/>
      <c r="B120"/>
      <c r="C120" s="77"/>
      <c r="D120"/>
    </row>
    <row r="121" spans="1:4" ht="15" customHeight="1" x14ac:dyDescent="0.45">
      <c r="A121" s="82"/>
      <c r="B121"/>
      <c r="C121" s="77"/>
      <c r="D121"/>
    </row>
    <row r="122" spans="1:4" ht="15" customHeight="1" x14ac:dyDescent="0.45">
      <c r="A122" s="82"/>
      <c r="B122"/>
      <c r="C122" s="77"/>
      <c r="D122"/>
    </row>
    <row r="123" spans="1:4" ht="15" customHeight="1" x14ac:dyDescent="0.45">
      <c r="A123" s="82"/>
      <c r="B123"/>
      <c r="C123" s="77"/>
      <c r="D123"/>
    </row>
    <row r="124" spans="1:4" ht="15" customHeight="1" x14ac:dyDescent="0.45">
      <c r="A124" s="82"/>
      <c r="B124"/>
      <c r="C124" s="77"/>
      <c r="D124"/>
    </row>
    <row r="125" spans="1:4" ht="15" customHeight="1" x14ac:dyDescent="0.45">
      <c r="A125" s="82"/>
      <c r="B125"/>
      <c r="C125" s="77"/>
      <c r="D125"/>
    </row>
    <row r="126" spans="1:4" ht="15" customHeight="1" x14ac:dyDescent="0.45">
      <c r="A126" s="82"/>
      <c r="B126"/>
      <c r="C126" s="77"/>
      <c r="D126"/>
    </row>
    <row r="127" spans="1:4" ht="15" customHeight="1" x14ac:dyDescent="0.45">
      <c r="A127" s="82"/>
      <c r="B127"/>
      <c r="C127" s="77"/>
      <c r="D127"/>
    </row>
    <row r="128" spans="1:4" ht="15" customHeight="1" x14ac:dyDescent="0.45">
      <c r="A128" s="82"/>
      <c r="B128"/>
      <c r="C128" s="77"/>
      <c r="D128"/>
    </row>
    <row r="129" spans="1:4" ht="15" customHeight="1" x14ac:dyDescent="0.45">
      <c r="A129" s="82"/>
      <c r="B129"/>
      <c r="C129" s="77"/>
      <c r="D129"/>
    </row>
    <row r="130" spans="1:4" ht="15" customHeight="1" x14ac:dyDescent="0.45">
      <c r="A130" s="82"/>
      <c r="B130"/>
      <c r="C130" s="77"/>
      <c r="D130"/>
    </row>
    <row r="131" spans="1:4" ht="15" customHeight="1" x14ac:dyDescent="0.45">
      <c r="A131" s="82"/>
      <c r="B131"/>
      <c r="C131" s="77"/>
      <c r="D131"/>
    </row>
    <row r="132" spans="1:4" ht="15" customHeight="1" x14ac:dyDescent="0.45">
      <c r="A132" s="82"/>
      <c r="B132"/>
      <c r="C132" s="77"/>
      <c r="D132"/>
    </row>
    <row r="133" spans="1:4" ht="15" customHeight="1" x14ac:dyDescent="0.45">
      <c r="A133" s="82"/>
      <c r="B133"/>
      <c r="C133" s="77"/>
      <c r="D133"/>
    </row>
    <row r="134" spans="1:4" ht="15" customHeight="1" x14ac:dyDescent="0.45">
      <c r="A134" s="82"/>
      <c r="B134"/>
      <c r="C134" s="77"/>
      <c r="D134"/>
    </row>
    <row r="135" spans="1:4" ht="15" customHeight="1" x14ac:dyDescent="0.45">
      <c r="A135" s="82"/>
      <c r="B135"/>
      <c r="C135" s="77"/>
      <c r="D135"/>
    </row>
    <row r="136" spans="1:4" ht="15" customHeight="1" x14ac:dyDescent="0.45">
      <c r="A136" s="82"/>
      <c r="B136"/>
      <c r="C136" s="77"/>
      <c r="D136"/>
    </row>
    <row r="137" spans="1:4" ht="15" customHeight="1" x14ac:dyDescent="0.45">
      <c r="A137" s="82"/>
      <c r="B137"/>
      <c r="C137" s="77"/>
      <c r="D137"/>
    </row>
    <row r="138" spans="1:4" ht="15" customHeight="1" x14ac:dyDescent="0.45">
      <c r="A138" s="82"/>
      <c r="B138"/>
      <c r="C138" s="77"/>
      <c r="D138"/>
    </row>
    <row r="139" spans="1:4" ht="15" customHeight="1" x14ac:dyDescent="0.45">
      <c r="A139" s="82"/>
      <c r="B139"/>
      <c r="C139" s="77"/>
      <c r="D139"/>
    </row>
    <row r="140" spans="1:4" ht="15" customHeight="1" x14ac:dyDescent="0.45">
      <c r="A140" s="82"/>
      <c r="B140"/>
      <c r="C140"/>
      <c r="D140"/>
    </row>
    <row r="141" spans="1:4" ht="15" customHeight="1" x14ac:dyDescent="0.45">
      <c r="A141" s="82"/>
      <c r="B141"/>
      <c r="C141"/>
      <c r="D141"/>
    </row>
    <row r="142" spans="1:4" ht="15" customHeight="1" x14ac:dyDescent="0.45">
      <c r="A142" s="82"/>
      <c r="B142"/>
      <c r="C142"/>
      <c r="D142"/>
    </row>
    <row r="143" spans="1:4" ht="15" customHeight="1" x14ac:dyDescent="0.45">
      <c r="A143" s="82"/>
      <c r="B143"/>
      <c r="C143"/>
      <c r="D143"/>
    </row>
    <row r="144" spans="1:4" ht="15" customHeight="1" x14ac:dyDescent="0.45">
      <c r="A144" s="82"/>
      <c r="B144"/>
      <c r="C144"/>
      <c r="D144"/>
    </row>
    <row r="145" spans="1:4" ht="15" customHeight="1" x14ac:dyDescent="0.45">
      <c r="A145" s="82"/>
      <c r="B145"/>
      <c r="C145"/>
      <c r="D145"/>
    </row>
    <row r="146" spans="1:4" ht="15" customHeight="1" x14ac:dyDescent="0.45">
      <c r="A146" s="82"/>
      <c r="B146"/>
      <c r="C146"/>
      <c r="D146"/>
    </row>
    <row r="147" spans="1:4" ht="15" customHeight="1" x14ac:dyDescent="0.45">
      <c r="A147" s="82"/>
      <c r="B147"/>
      <c r="C147"/>
      <c r="D147"/>
    </row>
    <row r="148" spans="1:4" ht="15" customHeight="1" x14ac:dyDescent="0.45">
      <c r="A148" s="82"/>
      <c r="B148"/>
      <c r="C148"/>
      <c r="D148"/>
    </row>
    <row r="149" spans="1:4" ht="15" customHeight="1" x14ac:dyDescent="0.45">
      <c r="A149" s="82"/>
      <c r="B149"/>
      <c r="C149"/>
      <c r="D149"/>
    </row>
    <row r="150" spans="1:4" ht="15" customHeight="1" x14ac:dyDescent="0.45">
      <c r="A150" s="82"/>
      <c r="B150"/>
      <c r="C150"/>
      <c r="D150"/>
    </row>
    <row r="151" spans="1:4" ht="15" customHeight="1" x14ac:dyDescent="0.45">
      <c r="A151" s="82"/>
      <c r="B151"/>
      <c r="C151"/>
      <c r="D151"/>
    </row>
    <row r="152" spans="1:4" ht="15" customHeight="1" x14ac:dyDescent="0.45">
      <c r="A152" s="82"/>
      <c r="B152"/>
      <c r="C152"/>
      <c r="D152"/>
    </row>
    <row r="153" spans="1:4" ht="15" customHeight="1" x14ac:dyDescent="0.45">
      <c r="A153" s="82"/>
      <c r="B153"/>
      <c r="C153"/>
      <c r="D153"/>
    </row>
    <row r="154" spans="1:4" ht="15" customHeight="1" x14ac:dyDescent="0.45">
      <c r="A154" s="82"/>
      <c r="B154"/>
      <c r="C154"/>
      <c r="D154"/>
    </row>
    <row r="155" spans="1:4" ht="15" customHeight="1" x14ac:dyDescent="0.45">
      <c r="A155" s="82"/>
      <c r="B155"/>
      <c r="C155"/>
      <c r="D155"/>
    </row>
    <row r="156" spans="1:4" ht="15" customHeight="1" x14ac:dyDescent="0.45">
      <c r="A156" s="82"/>
      <c r="B156"/>
      <c r="C156"/>
      <c r="D156"/>
    </row>
    <row r="157" spans="1:4" ht="15" customHeight="1" x14ac:dyDescent="0.45">
      <c r="A157" s="82"/>
      <c r="B157"/>
      <c r="C157"/>
      <c r="D157"/>
    </row>
    <row r="158" spans="1:4" ht="15" customHeight="1" x14ac:dyDescent="0.45">
      <c r="A158" s="82"/>
      <c r="B158"/>
      <c r="C158"/>
      <c r="D158"/>
    </row>
    <row r="159" spans="1:4" ht="15" customHeight="1" x14ac:dyDescent="0.45">
      <c r="A159" s="82"/>
      <c r="B159"/>
      <c r="C159"/>
      <c r="D159"/>
    </row>
    <row r="160" spans="1:4" ht="15" customHeight="1" x14ac:dyDescent="0.45">
      <c r="A160" s="82"/>
      <c r="B160"/>
      <c r="C160"/>
      <c r="D160"/>
    </row>
    <row r="161" spans="1:4" ht="15" customHeight="1" x14ac:dyDescent="0.45">
      <c r="A161" s="82"/>
      <c r="B161"/>
      <c r="C161"/>
      <c r="D161"/>
    </row>
    <row r="162" spans="1:4" ht="15" customHeight="1" x14ac:dyDescent="0.45">
      <c r="A162" s="82"/>
      <c r="B162"/>
      <c r="C162"/>
      <c r="D162"/>
    </row>
    <row r="163" spans="1:4" ht="15" customHeight="1" x14ac:dyDescent="0.45">
      <c r="A163" s="82"/>
      <c r="B163"/>
      <c r="C163"/>
      <c r="D163"/>
    </row>
    <row r="164" spans="1:4" ht="15" customHeight="1" x14ac:dyDescent="0.45">
      <c r="A164" s="82"/>
      <c r="B164"/>
      <c r="C164"/>
      <c r="D164"/>
    </row>
    <row r="165" spans="1:4" ht="15" customHeight="1" x14ac:dyDescent="0.45">
      <c r="A165" s="82"/>
      <c r="B165"/>
      <c r="C165"/>
      <c r="D165"/>
    </row>
    <row r="166" spans="1:4" ht="15" customHeight="1" x14ac:dyDescent="0.45">
      <c r="A166" s="82"/>
      <c r="B166"/>
      <c r="C166"/>
      <c r="D166"/>
    </row>
    <row r="167" spans="1:4" ht="15" customHeight="1" x14ac:dyDescent="0.45">
      <c r="A167" s="82"/>
      <c r="B167"/>
      <c r="C167"/>
      <c r="D167"/>
    </row>
    <row r="168" spans="1:4" ht="15" customHeight="1" x14ac:dyDescent="0.45">
      <c r="A168" s="82"/>
      <c r="B168"/>
      <c r="C168"/>
      <c r="D168"/>
    </row>
    <row r="169" spans="1:4" ht="15" customHeight="1" x14ac:dyDescent="0.45">
      <c r="A169" s="82"/>
      <c r="B169"/>
      <c r="C169"/>
      <c r="D169"/>
    </row>
    <row r="170" spans="1:4" ht="15" customHeight="1" x14ac:dyDescent="0.45">
      <c r="A170" s="82"/>
      <c r="B170"/>
      <c r="C170"/>
      <c r="D170"/>
    </row>
    <row r="171" spans="1:4" ht="15" customHeight="1" x14ac:dyDescent="0.45">
      <c r="A171" s="82"/>
      <c r="B171"/>
      <c r="C171"/>
      <c r="D171"/>
    </row>
    <row r="172" spans="1:4" ht="15" customHeight="1" x14ac:dyDescent="0.45">
      <c r="A172" s="82"/>
      <c r="B172"/>
      <c r="C172"/>
      <c r="D172"/>
    </row>
    <row r="173" spans="1:4" ht="15" customHeight="1" x14ac:dyDescent="0.45">
      <c r="A173" s="82"/>
      <c r="B173"/>
      <c r="C173"/>
      <c r="D173"/>
    </row>
    <row r="174" spans="1:4" ht="15" customHeight="1" x14ac:dyDescent="0.45">
      <c r="A174" s="82"/>
      <c r="B174"/>
      <c r="C174"/>
      <c r="D174"/>
    </row>
    <row r="175" spans="1:4" ht="15" customHeight="1" x14ac:dyDescent="0.45">
      <c r="A175" s="82"/>
      <c r="B175"/>
      <c r="C175"/>
      <c r="D175"/>
    </row>
    <row r="176" spans="1:4" ht="15" customHeight="1" x14ac:dyDescent="0.45">
      <c r="A176" s="82"/>
      <c r="B176"/>
      <c r="C176"/>
      <c r="D176"/>
    </row>
    <row r="177" spans="1:4" ht="15" customHeight="1" x14ac:dyDescent="0.45">
      <c r="A177" s="82"/>
      <c r="B177"/>
      <c r="C177"/>
      <c r="D177"/>
    </row>
    <row r="178" spans="1:4" ht="15" customHeight="1" x14ac:dyDescent="0.45">
      <c r="A178" s="82"/>
      <c r="B178"/>
      <c r="C178"/>
      <c r="D178"/>
    </row>
    <row r="179" spans="1:4" ht="15" customHeight="1" x14ac:dyDescent="0.45">
      <c r="A179" s="82"/>
      <c r="B179"/>
      <c r="C179"/>
      <c r="D179"/>
    </row>
    <row r="180" spans="1:4" ht="15" customHeight="1" x14ac:dyDescent="0.45">
      <c r="A180" s="82"/>
      <c r="B180"/>
      <c r="C180"/>
      <c r="D180"/>
    </row>
    <row r="181" spans="1:4" ht="15" customHeight="1" x14ac:dyDescent="0.45">
      <c r="A181" s="82"/>
      <c r="B181"/>
      <c r="C181"/>
      <c r="D181"/>
    </row>
    <row r="182" spans="1:4" ht="15" customHeight="1" x14ac:dyDescent="0.45">
      <c r="A182" s="82"/>
      <c r="B182"/>
      <c r="C182"/>
      <c r="D182"/>
    </row>
    <row r="183" spans="1:4" ht="15" customHeight="1" x14ac:dyDescent="0.45">
      <c r="A183" s="82"/>
      <c r="B183"/>
      <c r="C183"/>
      <c r="D183"/>
    </row>
    <row r="184" spans="1:4" ht="15" customHeight="1" x14ac:dyDescent="0.45">
      <c r="A184" s="82"/>
      <c r="B184"/>
      <c r="C184"/>
      <c r="D184"/>
    </row>
    <row r="185" spans="1:4" ht="15" customHeight="1" x14ac:dyDescent="0.45">
      <c r="A185" s="82"/>
      <c r="B185"/>
      <c r="C185"/>
      <c r="D185"/>
    </row>
    <row r="186" spans="1:4" ht="15" customHeight="1" x14ac:dyDescent="0.45">
      <c r="A186" s="82"/>
      <c r="B186"/>
      <c r="C186"/>
      <c r="D186"/>
    </row>
    <row r="187" spans="1:4" ht="15" customHeight="1" x14ac:dyDescent="0.45">
      <c r="A187" s="82"/>
      <c r="B187"/>
      <c r="C187"/>
      <c r="D187"/>
    </row>
    <row r="188" spans="1:4" ht="15" customHeight="1" x14ac:dyDescent="0.45">
      <c r="A188" s="82"/>
      <c r="B188"/>
      <c r="C188"/>
      <c r="D188"/>
    </row>
    <row r="189" spans="1:4" ht="15" customHeight="1" x14ac:dyDescent="0.45">
      <c r="A189" s="82"/>
      <c r="B189"/>
      <c r="C189"/>
      <c r="D189"/>
    </row>
    <row r="190" spans="1:4" ht="15" customHeight="1" x14ac:dyDescent="0.45">
      <c r="A190" s="82"/>
      <c r="B190"/>
      <c r="C190"/>
      <c r="D190"/>
    </row>
    <row r="191" spans="1:4" ht="15" customHeight="1" x14ac:dyDescent="0.45">
      <c r="A191" s="82"/>
      <c r="B191"/>
      <c r="C191"/>
      <c r="D191"/>
    </row>
    <row r="192" spans="1:4" ht="15" customHeight="1" x14ac:dyDescent="0.45">
      <c r="A192" s="82"/>
      <c r="B192"/>
      <c r="C192"/>
      <c r="D192"/>
    </row>
    <row r="193" spans="1:4" ht="15" customHeight="1" x14ac:dyDescent="0.45">
      <c r="A193" s="82"/>
      <c r="B193"/>
      <c r="C193"/>
      <c r="D193"/>
    </row>
    <row r="194" spans="1:4" ht="15" customHeight="1" x14ac:dyDescent="0.45">
      <c r="A194" s="82"/>
      <c r="B194"/>
      <c r="C194"/>
      <c r="D194"/>
    </row>
    <row r="195" spans="1:4" ht="15" customHeight="1" x14ac:dyDescent="0.45">
      <c r="A195" s="82"/>
      <c r="B195"/>
      <c r="C195"/>
      <c r="D195"/>
    </row>
    <row r="196" spans="1:4" ht="15" customHeight="1" x14ac:dyDescent="0.45">
      <c r="A196" s="82"/>
      <c r="B196"/>
      <c r="C196"/>
      <c r="D196"/>
    </row>
    <row r="197" spans="1:4" ht="15" customHeight="1" x14ac:dyDescent="0.45">
      <c r="A197" s="82"/>
      <c r="B197"/>
      <c r="C197"/>
      <c r="D197"/>
    </row>
    <row r="198" spans="1:4" ht="15" customHeight="1" x14ac:dyDescent="0.45">
      <c r="A198" s="82"/>
      <c r="B198"/>
      <c r="C198"/>
      <c r="D198"/>
    </row>
    <row r="199" spans="1:4" ht="15" customHeight="1" x14ac:dyDescent="0.45">
      <c r="A199" s="82"/>
      <c r="B199"/>
      <c r="C199"/>
      <c r="D199"/>
    </row>
    <row r="200" spans="1:4" ht="15" customHeight="1" x14ac:dyDescent="0.45">
      <c r="A200" s="82"/>
      <c r="B200"/>
      <c r="C200"/>
      <c r="D200"/>
    </row>
    <row r="201" spans="1:4" ht="15" customHeight="1" x14ac:dyDescent="0.45">
      <c r="A201" s="82"/>
      <c r="B201"/>
      <c r="C201"/>
      <c r="D201"/>
    </row>
    <row r="202" spans="1:4" ht="15" customHeight="1" x14ac:dyDescent="0.45">
      <c r="A202" s="82"/>
      <c r="B202"/>
      <c r="C202"/>
      <c r="D202"/>
    </row>
    <row r="203" spans="1:4" ht="15" customHeight="1" x14ac:dyDescent="0.45">
      <c r="A203" s="82"/>
      <c r="B203"/>
      <c r="C203"/>
      <c r="D203"/>
    </row>
    <row r="204" spans="1:4" ht="15" customHeight="1" x14ac:dyDescent="0.45">
      <c r="A204" s="82"/>
      <c r="B204"/>
      <c r="C204"/>
      <c r="D204"/>
    </row>
    <row r="205" spans="1:4" ht="15" customHeight="1" x14ac:dyDescent="0.45">
      <c r="A205" s="82"/>
      <c r="B205"/>
      <c r="C205"/>
      <c r="D205"/>
    </row>
    <row r="206" spans="1:4" ht="15" customHeight="1" x14ac:dyDescent="0.45">
      <c r="A206" s="82"/>
      <c r="B206"/>
      <c r="C206"/>
      <c r="D206"/>
    </row>
    <row r="207" spans="1:4" ht="15" customHeight="1" x14ac:dyDescent="0.45">
      <c r="A207" s="82"/>
      <c r="B207"/>
      <c r="C207"/>
      <c r="D207"/>
    </row>
    <row r="208" spans="1:4" ht="15" customHeight="1" x14ac:dyDescent="0.45">
      <c r="A208" s="82"/>
      <c r="B208"/>
      <c r="C208"/>
      <c r="D208"/>
    </row>
    <row r="209" spans="1:4" ht="15" customHeight="1" x14ac:dyDescent="0.45">
      <c r="A209" s="82"/>
      <c r="B209"/>
      <c r="C209"/>
      <c r="D209"/>
    </row>
    <row r="210" spans="1:4" ht="15" customHeight="1" x14ac:dyDescent="0.45">
      <c r="A210" s="82"/>
      <c r="B210"/>
      <c r="C210"/>
      <c r="D210"/>
    </row>
    <row r="211" spans="1:4" ht="15" customHeight="1" x14ac:dyDescent="0.45">
      <c r="A211" s="82"/>
      <c r="B211"/>
      <c r="C211"/>
      <c r="D211"/>
    </row>
    <row r="212" spans="1:4" ht="15" customHeight="1" x14ac:dyDescent="0.45">
      <c r="A212" s="82"/>
      <c r="B212"/>
      <c r="C212"/>
      <c r="D212"/>
    </row>
    <row r="213" spans="1:4" ht="15" customHeight="1" x14ac:dyDescent="0.45">
      <c r="A213" s="82"/>
      <c r="B213"/>
      <c r="C213"/>
      <c r="D213"/>
    </row>
    <row r="214" spans="1:4" ht="15" customHeight="1" x14ac:dyDescent="0.45">
      <c r="A214" s="82"/>
      <c r="B214"/>
      <c r="C214"/>
      <c r="D214"/>
    </row>
    <row r="215" spans="1:4" ht="15" customHeight="1" x14ac:dyDescent="0.45">
      <c r="A215" s="82"/>
      <c r="B215"/>
      <c r="C215"/>
      <c r="D215"/>
    </row>
    <row r="216" spans="1:4" ht="15" customHeight="1" x14ac:dyDescent="0.45">
      <c r="A216" s="82"/>
      <c r="B216"/>
      <c r="C216"/>
      <c r="D216"/>
    </row>
    <row r="217" spans="1:4" ht="15" customHeight="1" x14ac:dyDescent="0.45">
      <c r="A217" s="82"/>
      <c r="B217"/>
      <c r="C217"/>
      <c r="D217"/>
    </row>
    <row r="218" spans="1:4" ht="15" customHeight="1" x14ac:dyDescent="0.45">
      <c r="A218" s="82"/>
      <c r="B218"/>
      <c r="C218"/>
      <c r="D218"/>
    </row>
    <row r="219" spans="1:4" ht="15" customHeight="1" x14ac:dyDescent="0.45">
      <c r="A219" s="82"/>
      <c r="B219"/>
      <c r="C219"/>
      <c r="D219"/>
    </row>
    <row r="220" spans="1:4" ht="15" customHeight="1" x14ac:dyDescent="0.45">
      <c r="A220" s="82"/>
      <c r="B220"/>
      <c r="C220"/>
      <c r="D220"/>
    </row>
    <row r="221" spans="1:4" ht="15" customHeight="1" x14ac:dyDescent="0.45">
      <c r="A221" s="82"/>
      <c r="B221"/>
      <c r="C221"/>
      <c r="D221"/>
    </row>
    <row r="222" spans="1:4" ht="15" customHeight="1" x14ac:dyDescent="0.45">
      <c r="A222" s="82"/>
      <c r="B222"/>
      <c r="C222"/>
      <c r="D222"/>
    </row>
    <row r="223" spans="1:4" ht="15" customHeight="1" x14ac:dyDescent="0.45">
      <c r="A223" s="82"/>
      <c r="B223"/>
      <c r="C223"/>
      <c r="D223"/>
    </row>
    <row r="224" spans="1:4" ht="15" customHeight="1" x14ac:dyDescent="0.45">
      <c r="A224" s="82"/>
      <c r="B224"/>
      <c r="C224"/>
      <c r="D224"/>
    </row>
    <row r="225" spans="1:4" ht="15" customHeight="1" x14ac:dyDescent="0.45">
      <c r="A225" s="82"/>
      <c r="B225"/>
      <c r="C225"/>
      <c r="D225"/>
    </row>
    <row r="226" spans="1:4" ht="15" customHeight="1" x14ac:dyDescent="0.45">
      <c r="A226" s="82"/>
      <c r="B226"/>
      <c r="C226"/>
      <c r="D226"/>
    </row>
    <row r="227" spans="1:4" ht="15" customHeight="1" x14ac:dyDescent="0.45">
      <c r="A227" s="82"/>
      <c r="B227"/>
      <c r="C227"/>
      <c r="D227"/>
    </row>
    <row r="228" spans="1:4" ht="15" customHeight="1" x14ac:dyDescent="0.45">
      <c r="A228" s="82"/>
      <c r="B228"/>
      <c r="C228"/>
      <c r="D228"/>
    </row>
    <row r="229" spans="1:4" ht="15" customHeight="1" x14ac:dyDescent="0.45">
      <c r="A229" s="82"/>
      <c r="B229"/>
      <c r="C229"/>
      <c r="D229"/>
    </row>
    <row r="230" spans="1:4" ht="15" customHeight="1" x14ac:dyDescent="0.45">
      <c r="A230" s="82"/>
      <c r="B230"/>
      <c r="C230"/>
      <c r="D230"/>
    </row>
    <row r="231" spans="1:4" ht="15" customHeight="1" x14ac:dyDescent="0.45">
      <c r="A231" s="82"/>
      <c r="B231"/>
      <c r="C231"/>
      <c r="D231"/>
    </row>
    <row r="232" spans="1:4" ht="15" customHeight="1" x14ac:dyDescent="0.45">
      <c r="A232" s="82"/>
      <c r="B232"/>
      <c r="C232"/>
      <c r="D232"/>
    </row>
    <row r="233" spans="1:4" ht="15" customHeight="1" x14ac:dyDescent="0.45">
      <c r="A233" s="82"/>
      <c r="B233"/>
      <c r="C233"/>
      <c r="D233"/>
    </row>
    <row r="234" spans="1:4" ht="15" customHeight="1" x14ac:dyDescent="0.45">
      <c r="A234" s="82"/>
      <c r="B234"/>
      <c r="C234"/>
      <c r="D234"/>
    </row>
    <row r="235" spans="1:4" ht="15" customHeight="1" x14ac:dyDescent="0.45">
      <c r="A235" s="82"/>
      <c r="B235"/>
      <c r="C235"/>
      <c r="D235"/>
    </row>
    <row r="236" spans="1:4" ht="15" customHeight="1" x14ac:dyDescent="0.45">
      <c r="A236" s="82"/>
      <c r="B236"/>
      <c r="C236"/>
      <c r="D236"/>
    </row>
    <row r="237" spans="1:4" ht="15" customHeight="1" x14ac:dyDescent="0.45">
      <c r="A237" s="82"/>
      <c r="B237"/>
      <c r="C237"/>
      <c r="D237"/>
    </row>
    <row r="238" spans="1:4" ht="15" customHeight="1" x14ac:dyDescent="0.45">
      <c r="A238" s="82"/>
      <c r="B238"/>
      <c r="C238"/>
      <c r="D238"/>
    </row>
    <row r="239" spans="1:4" ht="15" customHeight="1" x14ac:dyDescent="0.45">
      <c r="A239" s="82"/>
      <c r="B239"/>
      <c r="C239"/>
      <c r="D239"/>
    </row>
    <row r="240" spans="1:4" ht="15" customHeight="1" x14ac:dyDescent="0.45">
      <c r="A240" s="82"/>
      <c r="B240"/>
      <c r="C240"/>
      <c r="D240"/>
    </row>
    <row r="241" spans="1:4" ht="15" customHeight="1" x14ac:dyDescent="0.45">
      <c r="A241" s="82"/>
      <c r="B241"/>
      <c r="C241"/>
      <c r="D241"/>
    </row>
    <row r="242" spans="1:4" ht="15" customHeight="1" x14ac:dyDescent="0.45">
      <c r="A242" s="82"/>
      <c r="B242"/>
      <c r="C242"/>
      <c r="D242"/>
    </row>
    <row r="243" spans="1:4" ht="15" customHeight="1" x14ac:dyDescent="0.45">
      <c r="A243" s="82"/>
      <c r="B243"/>
      <c r="C243"/>
      <c r="D243"/>
    </row>
    <row r="244" spans="1:4" ht="15" customHeight="1" x14ac:dyDescent="0.45">
      <c r="A244" s="82"/>
      <c r="B244"/>
      <c r="C244"/>
      <c r="D244"/>
    </row>
    <row r="245" spans="1:4" ht="15" customHeight="1" x14ac:dyDescent="0.45">
      <c r="A245" s="82"/>
      <c r="B245"/>
      <c r="C245"/>
      <c r="D245"/>
    </row>
    <row r="246" spans="1:4" ht="15" customHeight="1" x14ac:dyDescent="0.45">
      <c r="A246" s="82"/>
      <c r="B246"/>
      <c r="C246"/>
      <c r="D246"/>
    </row>
    <row r="247" spans="1:4" ht="15" customHeight="1" x14ac:dyDescent="0.45">
      <c r="A247" s="82"/>
      <c r="B247"/>
      <c r="C247"/>
      <c r="D247"/>
    </row>
    <row r="248" spans="1:4" ht="15" customHeight="1" x14ac:dyDescent="0.45">
      <c r="A248" s="82"/>
      <c r="B248"/>
      <c r="C248"/>
      <c r="D248"/>
    </row>
    <row r="249" spans="1:4" ht="15" customHeight="1" x14ac:dyDescent="0.45">
      <c r="A249" s="82"/>
      <c r="B249"/>
      <c r="C249"/>
      <c r="D249"/>
    </row>
    <row r="250" spans="1:4" ht="15" customHeight="1" x14ac:dyDescent="0.45">
      <c r="A250" s="82"/>
      <c r="B250"/>
      <c r="C250"/>
      <c r="D250"/>
    </row>
    <row r="251" spans="1:4" ht="15" customHeight="1" x14ac:dyDescent="0.45">
      <c r="A251" s="82"/>
      <c r="B251"/>
      <c r="C251"/>
      <c r="D251"/>
    </row>
    <row r="252" spans="1:4" ht="15" customHeight="1" x14ac:dyDescent="0.45">
      <c r="A252" s="82"/>
      <c r="B252"/>
      <c r="C252"/>
      <c r="D252"/>
    </row>
    <row r="253" spans="1:4" ht="15" customHeight="1" x14ac:dyDescent="0.45">
      <c r="A253" s="82"/>
      <c r="B253"/>
      <c r="C253"/>
      <c r="D253"/>
    </row>
    <row r="254" spans="1:4" ht="15" customHeight="1" x14ac:dyDescent="0.45">
      <c r="A254" s="82"/>
      <c r="B254"/>
      <c r="C254"/>
      <c r="D254"/>
    </row>
    <row r="255" spans="1:4" ht="15" customHeight="1" x14ac:dyDescent="0.45">
      <c r="A255" s="82"/>
      <c r="B255"/>
      <c r="C255"/>
      <c r="D255"/>
    </row>
    <row r="256" spans="1:4" ht="15" customHeight="1" x14ac:dyDescent="0.45">
      <c r="A256" s="82"/>
      <c r="B256"/>
      <c r="C256"/>
      <c r="D256"/>
    </row>
    <row r="257" spans="1:4" ht="15" customHeight="1" x14ac:dyDescent="0.45">
      <c r="A257" s="82"/>
      <c r="B257"/>
      <c r="C257"/>
      <c r="D257"/>
    </row>
    <row r="258" spans="1:4" ht="15" customHeight="1" x14ac:dyDescent="0.45">
      <c r="A258" s="82"/>
      <c r="B258"/>
      <c r="C258"/>
      <c r="D258"/>
    </row>
    <row r="259" spans="1:4" ht="15" customHeight="1" x14ac:dyDescent="0.45">
      <c r="A259" s="82"/>
      <c r="B259"/>
      <c r="C259"/>
      <c r="D259"/>
    </row>
    <row r="260" spans="1:4" ht="15" customHeight="1" x14ac:dyDescent="0.45">
      <c r="A260" s="82"/>
      <c r="B260"/>
      <c r="C260"/>
      <c r="D260"/>
    </row>
    <row r="261" spans="1:4" ht="15" customHeight="1" x14ac:dyDescent="0.45">
      <c r="A261" s="82"/>
      <c r="B261"/>
      <c r="C261"/>
      <c r="D261"/>
    </row>
    <row r="262" spans="1:4" ht="15" customHeight="1" x14ac:dyDescent="0.45">
      <c r="A262" s="82"/>
      <c r="B262"/>
      <c r="C262"/>
      <c r="D262"/>
    </row>
    <row r="263" spans="1:4" ht="15" customHeight="1" x14ac:dyDescent="0.45">
      <c r="A263" s="82"/>
      <c r="B263"/>
      <c r="C263"/>
      <c r="D263"/>
    </row>
    <row r="264" spans="1:4" ht="15" customHeight="1" x14ac:dyDescent="0.45">
      <c r="A264" s="82"/>
      <c r="B264"/>
      <c r="C264"/>
      <c r="D264"/>
    </row>
    <row r="265" spans="1:4" ht="15" customHeight="1" x14ac:dyDescent="0.45">
      <c r="A265" s="82"/>
      <c r="B265"/>
      <c r="C265"/>
      <c r="D265"/>
    </row>
    <row r="266" spans="1:4" ht="15" customHeight="1" x14ac:dyDescent="0.45">
      <c r="A266" s="82"/>
      <c r="B266"/>
      <c r="C266"/>
      <c r="D266"/>
    </row>
    <row r="267" spans="1:4" ht="15" customHeight="1" x14ac:dyDescent="0.45">
      <c r="A267" s="82"/>
      <c r="B267"/>
      <c r="C267"/>
      <c r="D267"/>
    </row>
    <row r="268" spans="1:4" ht="15" customHeight="1" x14ac:dyDescent="0.45">
      <c r="A268" s="82"/>
      <c r="B268"/>
      <c r="C268"/>
      <c r="D268"/>
    </row>
    <row r="269" spans="1:4" ht="15" customHeight="1" x14ac:dyDescent="0.45">
      <c r="A269" s="82"/>
      <c r="B269"/>
      <c r="C269"/>
      <c r="D269"/>
    </row>
    <row r="270" spans="1:4" ht="15" customHeight="1" x14ac:dyDescent="0.45">
      <c r="A270" s="82"/>
      <c r="B270"/>
      <c r="C270"/>
      <c r="D270"/>
    </row>
    <row r="271" spans="1:4" ht="15" customHeight="1" x14ac:dyDescent="0.45">
      <c r="A271" s="82"/>
      <c r="B271"/>
      <c r="C271"/>
      <c r="D271"/>
    </row>
    <row r="272" spans="1:4" ht="15" customHeight="1" x14ac:dyDescent="0.45">
      <c r="A272" s="82"/>
      <c r="B272"/>
      <c r="C272"/>
      <c r="D272"/>
    </row>
    <row r="273" spans="1:4" ht="15" customHeight="1" x14ac:dyDescent="0.45">
      <c r="A273" s="82"/>
      <c r="B273"/>
      <c r="C273"/>
      <c r="D273"/>
    </row>
    <row r="274" spans="1:4" ht="15" customHeight="1" x14ac:dyDescent="0.45">
      <c r="A274" s="82"/>
      <c r="B274"/>
      <c r="C274"/>
      <c r="D274"/>
    </row>
    <row r="275" spans="1:4" ht="15" customHeight="1" x14ac:dyDescent="0.45">
      <c r="A275" s="82"/>
      <c r="B275"/>
      <c r="C275"/>
      <c r="D275"/>
    </row>
    <row r="276" spans="1:4" ht="15" customHeight="1" x14ac:dyDescent="0.45">
      <c r="A276" s="82"/>
      <c r="B276"/>
      <c r="C276"/>
      <c r="D276"/>
    </row>
    <row r="277" spans="1:4" ht="15" customHeight="1" x14ac:dyDescent="0.45">
      <c r="A277" s="82"/>
      <c r="B277"/>
      <c r="C277"/>
      <c r="D277"/>
    </row>
    <row r="278" spans="1:4" ht="15" customHeight="1" x14ac:dyDescent="0.45">
      <c r="A278" s="82"/>
      <c r="B278"/>
      <c r="C278"/>
      <c r="D278"/>
    </row>
    <row r="279" spans="1:4" ht="15" customHeight="1" x14ac:dyDescent="0.45">
      <c r="A279" s="82"/>
      <c r="B279"/>
      <c r="C279"/>
      <c r="D279"/>
    </row>
    <row r="280" spans="1:4" ht="15" customHeight="1" x14ac:dyDescent="0.45">
      <c r="A280" s="82"/>
      <c r="B280"/>
      <c r="C280"/>
      <c r="D280"/>
    </row>
    <row r="281" spans="1:4" ht="15" customHeight="1" x14ac:dyDescent="0.45">
      <c r="A281" s="82"/>
      <c r="B281"/>
      <c r="C281"/>
      <c r="D281"/>
    </row>
    <row r="282" spans="1:4" ht="15" customHeight="1" x14ac:dyDescent="0.45">
      <c r="A282" s="82"/>
      <c r="B282"/>
      <c r="C282"/>
      <c r="D282"/>
    </row>
    <row r="283" spans="1:4" ht="15" customHeight="1" x14ac:dyDescent="0.45">
      <c r="A283" s="82"/>
      <c r="B283"/>
      <c r="C283"/>
      <c r="D283"/>
    </row>
    <row r="284" spans="1:4" ht="15" customHeight="1" x14ac:dyDescent="0.45">
      <c r="A284" s="82"/>
      <c r="B284"/>
      <c r="C284"/>
      <c r="D284"/>
    </row>
    <row r="285" spans="1:4" ht="15" customHeight="1" x14ac:dyDescent="0.45">
      <c r="A285" s="82"/>
      <c r="B285"/>
      <c r="C285"/>
      <c r="D285"/>
    </row>
    <row r="286" spans="1:4" ht="15" customHeight="1" x14ac:dyDescent="0.45">
      <c r="A286" s="82"/>
      <c r="B286"/>
      <c r="C286"/>
      <c r="D286"/>
    </row>
    <row r="287" spans="1:4" ht="15" customHeight="1" x14ac:dyDescent="0.45">
      <c r="A287" s="82"/>
      <c r="B287"/>
      <c r="C287"/>
      <c r="D287"/>
    </row>
    <row r="288" spans="1:4" ht="15" customHeight="1" x14ac:dyDescent="0.45">
      <c r="A288" s="82"/>
      <c r="B288"/>
      <c r="C288"/>
      <c r="D288"/>
    </row>
    <row r="289" spans="1:4" ht="15" customHeight="1" x14ac:dyDescent="0.45">
      <c r="A289" s="82"/>
      <c r="B289"/>
      <c r="C289"/>
      <c r="D289"/>
    </row>
    <row r="290" spans="1:4" ht="15" customHeight="1" x14ac:dyDescent="0.45">
      <c r="A290" s="82"/>
      <c r="B290"/>
      <c r="C290"/>
      <c r="D290"/>
    </row>
    <row r="291" spans="1:4" ht="15" customHeight="1" x14ac:dyDescent="0.45">
      <c r="A291" s="82"/>
      <c r="B291"/>
      <c r="C291"/>
      <c r="D291"/>
    </row>
    <row r="292" spans="1:4" ht="15" customHeight="1" x14ac:dyDescent="0.45">
      <c r="A292" s="82"/>
      <c r="B292"/>
      <c r="C292"/>
      <c r="D292"/>
    </row>
    <row r="293" spans="1:4" ht="15" customHeight="1" x14ac:dyDescent="0.45">
      <c r="A293" s="82"/>
      <c r="B293"/>
      <c r="C293"/>
      <c r="D293"/>
    </row>
    <row r="294" spans="1:4" ht="15" customHeight="1" x14ac:dyDescent="0.45">
      <c r="A294" s="82"/>
      <c r="B294"/>
      <c r="C294"/>
      <c r="D294"/>
    </row>
    <row r="295" spans="1:4" ht="15" customHeight="1" x14ac:dyDescent="0.45">
      <c r="A295" s="82"/>
      <c r="B295"/>
      <c r="C295"/>
      <c r="D295"/>
    </row>
    <row r="296" spans="1:4" ht="15" customHeight="1" x14ac:dyDescent="0.45">
      <c r="A296" s="82"/>
      <c r="B296"/>
      <c r="C296"/>
      <c r="D296"/>
    </row>
    <row r="297" spans="1:4" ht="15" customHeight="1" x14ac:dyDescent="0.45">
      <c r="A297" s="82"/>
      <c r="B297"/>
      <c r="C297"/>
      <c r="D297"/>
    </row>
    <row r="298" spans="1:4" ht="15" customHeight="1" x14ac:dyDescent="0.45">
      <c r="A298" s="82"/>
      <c r="B298"/>
      <c r="C298"/>
      <c r="D298"/>
    </row>
    <row r="299" spans="1:4" ht="15" customHeight="1" x14ac:dyDescent="0.45">
      <c r="A299" s="82"/>
      <c r="B299"/>
      <c r="C299"/>
      <c r="D299"/>
    </row>
    <row r="300" spans="1:4" ht="15" customHeight="1" x14ac:dyDescent="0.45">
      <c r="A300" s="82"/>
      <c r="B300"/>
      <c r="C300"/>
      <c r="D300"/>
    </row>
    <row r="301" spans="1:4" ht="15" customHeight="1" x14ac:dyDescent="0.45">
      <c r="A301" s="82"/>
      <c r="B301"/>
      <c r="C301"/>
      <c r="D301"/>
    </row>
    <row r="302" spans="1:4" ht="15" customHeight="1" x14ac:dyDescent="0.45">
      <c r="A302" s="82"/>
      <c r="B302"/>
      <c r="C302"/>
      <c r="D302"/>
    </row>
    <row r="303" spans="1:4" ht="15" customHeight="1" x14ac:dyDescent="0.45">
      <c r="A303" s="82"/>
      <c r="B303"/>
      <c r="C303"/>
      <c r="D303"/>
    </row>
    <row r="304" spans="1:4" ht="15" customHeight="1" x14ac:dyDescent="0.45">
      <c r="A304" s="82"/>
      <c r="B304"/>
      <c r="C304"/>
      <c r="D304"/>
    </row>
    <row r="305" spans="1:4" ht="15" customHeight="1" x14ac:dyDescent="0.45">
      <c r="A305" s="82"/>
      <c r="B305"/>
      <c r="C305"/>
      <c r="D305"/>
    </row>
    <row r="306" spans="1:4" ht="15" customHeight="1" x14ac:dyDescent="0.45">
      <c r="A306" s="82"/>
      <c r="B306"/>
      <c r="C306"/>
      <c r="D306"/>
    </row>
    <row r="307" spans="1:4" ht="15" customHeight="1" x14ac:dyDescent="0.45">
      <c r="A307" s="82"/>
      <c r="B307"/>
      <c r="C307"/>
      <c r="D307"/>
    </row>
    <row r="308" spans="1:4" ht="15" customHeight="1" x14ac:dyDescent="0.45">
      <c r="A308" s="82"/>
      <c r="B308"/>
      <c r="C308"/>
      <c r="D308"/>
    </row>
    <row r="309" spans="1:4" ht="15" customHeight="1" x14ac:dyDescent="0.45">
      <c r="A309" s="82"/>
      <c r="B309"/>
      <c r="C309"/>
      <c r="D309"/>
    </row>
    <row r="310" spans="1:4" ht="15" customHeight="1" x14ac:dyDescent="0.45">
      <c r="A310" s="82"/>
      <c r="B310"/>
      <c r="C310"/>
      <c r="D310"/>
    </row>
    <row r="311" spans="1:4" ht="15" customHeight="1" x14ac:dyDescent="0.45">
      <c r="A311" s="82"/>
      <c r="B311"/>
      <c r="C311"/>
      <c r="D311"/>
    </row>
    <row r="312" spans="1:4" ht="15" customHeight="1" x14ac:dyDescent="0.45">
      <c r="A312" s="82"/>
      <c r="B312"/>
      <c r="C312"/>
      <c r="D312"/>
    </row>
    <row r="313" spans="1:4" ht="15" customHeight="1" x14ac:dyDescent="0.45">
      <c r="A313" s="82"/>
      <c r="B313"/>
      <c r="C313"/>
      <c r="D313"/>
    </row>
    <row r="314" spans="1:4" ht="15" customHeight="1" x14ac:dyDescent="0.45">
      <c r="A314" s="82"/>
      <c r="B314"/>
      <c r="C314"/>
      <c r="D314"/>
    </row>
    <row r="315" spans="1:4" ht="15" customHeight="1" x14ac:dyDescent="0.45">
      <c r="A315" s="82"/>
      <c r="B315"/>
      <c r="C315"/>
      <c r="D315"/>
    </row>
    <row r="316" spans="1:4" ht="15" customHeight="1" x14ac:dyDescent="0.45">
      <c r="A316" s="82"/>
      <c r="B316"/>
      <c r="C316"/>
      <c r="D316"/>
    </row>
    <row r="317" spans="1:4" ht="15" customHeight="1" x14ac:dyDescent="0.45">
      <c r="A317" s="82"/>
      <c r="B317"/>
      <c r="C317"/>
      <c r="D317"/>
    </row>
    <row r="318" spans="1:4" ht="15" customHeight="1" x14ac:dyDescent="0.45">
      <c r="A318" s="82"/>
      <c r="B318"/>
      <c r="C318"/>
      <c r="D318"/>
    </row>
    <row r="319" spans="1:4" ht="15" customHeight="1" x14ac:dyDescent="0.45">
      <c r="A319" s="82"/>
      <c r="B319"/>
      <c r="C319"/>
      <c r="D319"/>
    </row>
    <row r="320" spans="1:4" ht="15" customHeight="1" x14ac:dyDescent="0.45">
      <c r="A320" s="82"/>
      <c r="B320"/>
      <c r="C320"/>
      <c r="D320"/>
    </row>
    <row r="321" spans="1:4" ht="15" customHeight="1" x14ac:dyDescent="0.45">
      <c r="A321" s="82"/>
      <c r="B321"/>
      <c r="C321"/>
      <c r="D321"/>
    </row>
    <row r="322" spans="1:4" ht="15" customHeight="1" x14ac:dyDescent="0.45">
      <c r="A322" s="82"/>
      <c r="B322"/>
      <c r="C322"/>
      <c r="D322"/>
    </row>
    <row r="323" spans="1:4" ht="15" customHeight="1" x14ac:dyDescent="0.45">
      <c r="A323" s="82"/>
      <c r="B323"/>
      <c r="C323"/>
      <c r="D323"/>
    </row>
    <row r="324" spans="1:4" ht="15" customHeight="1" x14ac:dyDescent="0.45">
      <c r="A324" s="82"/>
      <c r="B324"/>
      <c r="C324"/>
      <c r="D324"/>
    </row>
    <row r="325" spans="1:4" ht="15" customHeight="1" x14ac:dyDescent="0.45">
      <c r="A325" s="82"/>
      <c r="B325"/>
      <c r="C325"/>
      <c r="D325"/>
    </row>
    <row r="326" spans="1:4" ht="15" customHeight="1" x14ac:dyDescent="0.45">
      <c r="A326" s="82"/>
      <c r="B326"/>
      <c r="C326"/>
      <c r="D326"/>
    </row>
    <row r="327" spans="1:4" ht="15" customHeight="1" x14ac:dyDescent="0.45">
      <c r="A327" s="82"/>
      <c r="B327"/>
      <c r="C327"/>
      <c r="D327"/>
    </row>
    <row r="328" spans="1:4" ht="15" customHeight="1" x14ac:dyDescent="0.45">
      <c r="A328" s="82"/>
      <c r="B328"/>
      <c r="C328"/>
      <c r="D328"/>
    </row>
    <row r="329" spans="1:4" ht="15" customHeight="1" x14ac:dyDescent="0.45">
      <c r="A329" s="82"/>
      <c r="B329"/>
      <c r="C329"/>
      <c r="D329"/>
    </row>
    <row r="330" spans="1:4" ht="15" customHeight="1" x14ac:dyDescent="0.45">
      <c r="A330" s="82"/>
      <c r="B330"/>
      <c r="C330"/>
      <c r="D330"/>
    </row>
    <row r="331" spans="1:4" ht="15" customHeight="1" x14ac:dyDescent="0.45">
      <c r="A331" s="82"/>
      <c r="B331"/>
      <c r="C331"/>
      <c r="D331"/>
    </row>
    <row r="332" spans="1:4" ht="15" customHeight="1" x14ac:dyDescent="0.45">
      <c r="A332" s="82"/>
      <c r="B332"/>
      <c r="C332"/>
      <c r="D332"/>
    </row>
    <row r="333" spans="1:4" ht="15" customHeight="1" x14ac:dyDescent="0.45">
      <c r="A333" s="82"/>
      <c r="B333"/>
      <c r="C333"/>
      <c r="D333"/>
    </row>
    <row r="334" spans="1:4" ht="15" customHeight="1" x14ac:dyDescent="0.45">
      <c r="A334" s="82"/>
      <c r="B334"/>
      <c r="C334"/>
      <c r="D334"/>
    </row>
    <row r="335" spans="1:4" ht="15" customHeight="1" x14ac:dyDescent="0.45">
      <c r="A335" s="82"/>
      <c r="B335"/>
      <c r="C335"/>
      <c r="D335"/>
    </row>
    <row r="336" spans="1:4" ht="15" customHeight="1" x14ac:dyDescent="0.45">
      <c r="A336" s="82"/>
      <c r="B336"/>
      <c r="C336"/>
      <c r="D336"/>
    </row>
    <row r="337" spans="1:4" ht="15" customHeight="1" x14ac:dyDescent="0.45">
      <c r="A337" s="82"/>
      <c r="B337"/>
      <c r="C337"/>
      <c r="D337"/>
    </row>
    <row r="338" spans="1:4" ht="15" customHeight="1" x14ac:dyDescent="0.45">
      <c r="A338" s="82"/>
      <c r="B338"/>
      <c r="C338"/>
      <c r="D338"/>
    </row>
    <row r="339" spans="1:4" ht="15" customHeight="1" x14ac:dyDescent="0.45">
      <c r="A339" s="82"/>
      <c r="B339"/>
      <c r="C339"/>
      <c r="D339"/>
    </row>
    <row r="340" spans="1:4" ht="15" customHeight="1" x14ac:dyDescent="0.45">
      <c r="A340" s="82"/>
      <c r="B340"/>
      <c r="C340"/>
      <c r="D340"/>
    </row>
    <row r="341" spans="1:4" ht="15" customHeight="1" x14ac:dyDescent="0.45">
      <c r="A341" s="82"/>
      <c r="B341"/>
      <c r="C341"/>
      <c r="D341"/>
    </row>
    <row r="342" spans="1:4" ht="15" customHeight="1" x14ac:dyDescent="0.45">
      <c r="A342" s="82"/>
      <c r="B342"/>
      <c r="C342"/>
      <c r="D342"/>
    </row>
    <row r="343" spans="1:4" ht="15" customHeight="1" x14ac:dyDescent="0.45">
      <c r="A343" s="82"/>
      <c r="B343"/>
      <c r="C343"/>
      <c r="D343"/>
    </row>
    <row r="344" spans="1:4" ht="15" customHeight="1" x14ac:dyDescent="0.45">
      <c r="A344" s="82"/>
      <c r="B344"/>
      <c r="C344"/>
      <c r="D344"/>
    </row>
    <row r="345" spans="1:4" ht="15" customHeight="1" x14ac:dyDescent="0.45">
      <c r="A345" s="82"/>
      <c r="B345"/>
      <c r="C345"/>
      <c r="D345"/>
    </row>
    <row r="346" spans="1:4" ht="15" customHeight="1" x14ac:dyDescent="0.45">
      <c r="A346" s="82"/>
      <c r="B346"/>
      <c r="C346"/>
      <c r="D346"/>
    </row>
    <row r="347" spans="1:4" ht="15" customHeight="1" x14ac:dyDescent="0.45">
      <c r="A347" s="82"/>
      <c r="B347"/>
      <c r="C347"/>
      <c r="D347"/>
    </row>
    <row r="348" spans="1:4" ht="15" customHeight="1" x14ac:dyDescent="0.45">
      <c r="A348" s="82"/>
      <c r="B348"/>
      <c r="C348"/>
      <c r="D348"/>
    </row>
    <row r="349" spans="1:4" ht="15" customHeight="1" x14ac:dyDescent="0.45">
      <c r="A349" s="82"/>
      <c r="B349"/>
      <c r="C349"/>
      <c r="D349"/>
    </row>
    <row r="350" spans="1:4" ht="15" customHeight="1" x14ac:dyDescent="0.45">
      <c r="A350" s="82"/>
      <c r="B350"/>
      <c r="C350"/>
      <c r="D350"/>
    </row>
    <row r="351" spans="1:4" ht="15" customHeight="1" x14ac:dyDescent="0.45">
      <c r="A351" s="82"/>
      <c r="B351"/>
      <c r="C351"/>
      <c r="D351"/>
    </row>
    <row r="352" spans="1:4" ht="15" customHeight="1" x14ac:dyDescent="0.45">
      <c r="A352" s="82"/>
      <c r="B352"/>
      <c r="C352"/>
      <c r="D352"/>
    </row>
    <row r="353" spans="1:4" ht="15" customHeight="1" x14ac:dyDescent="0.45">
      <c r="A353" s="82"/>
      <c r="B353"/>
      <c r="C353"/>
      <c r="D353"/>
    </row>
    <row r="354" spans="1:4" ht="15" customHeight="1" x14ac:dyDescent="0.45">
      <c r="A354" s="82"/>
      <c r="B354"/>
      <c r="C354"/>
      <c r="D354"/>
    </row>
    <row r="355" spans="1:4" ht="15" customHeight="1" x14ac:dyDescent="0.45">
      <c r="A355" s="82"/>
      <c r="B355"/>
      <c r="C355"/>
      <c r="D355"/>
    </row>
    <row r="356" spans="1:4" ht="15" customHeight="1" x14ac:dyDescent="0.45">
      <c r="A356" s="82"/>
      <c r="B356"/>
      <c r="C356"/>
      <c r="D356"/>
    </row>
    <row r="357" spans="1:4" ht="15" customHeight="1" x14ac:dyDescent="0.45">
      <c r="A357" s="82"/>
      <c r="B357"/>
      <c r="C357"/>
      <c r="D357"/>
    </row>
    <row r="358" spans="1:4" ht="15" customHeight="1" x14ac:dyDescent="0.45">
      <c r="A358" s="82"/>
      <c r="B358"/>
      <c r="C358"/>
      <c r="D358"/>
    </row>
    <row r="359" spans="1:4" ht="15" customHeight="1" x14ac:dyDescent="0.45">
      <c r="A359" s="82"/>
      <c r="B359"/>
      <c r="C359"/>
      <c r="D359"/>
    </row>
    <row r="360" spans="1:4" ht="15" customHeight="1" x14ac:dyDescent="0.45">
      <c r="A360" s="82"/>
      <c r="B360"/>
      <c r="C360"/>
      <c r="D360"/>
    </row>
    <row r="361" spans="1:4" ht="15" customHeight="1" x14ac:dyDescent="0.45">
      <c r="A361" s="82"/>
      <c r="B361"/>
      <c r="C361"/>
      <c r="D361"/>
    </row>
    <row r="362" spans="1:4" ht="15" customHeight="1" x14ac:dyDescent="0.45">
      <c r="A362" s="82"/>
      <c r="B362"/>
      <c r="C362"/>
      <c r="D362"/>
    </row>
    <row r="363" spans="1:4" ht="15" customHeight="1" x14ac:dyDescent="0.45">
      <c r="A363" s="82"/>
      <c r="B363"/>
      <c r="C363"/>
      <c r="D363"/>
    </row>
    <row r="364" spans="1:4" ht="15" customHeight="1" x14ac:dyDescent="0.45">
      <c r="A364" s="82"/>
      <c r="B364"/>
      <c r="C364"/>
      <c r="D364"/>
    </row>
    <row r="365" spans="1:4" ht="15" customHeight="1" x14ac:dyDescent="0.45">
      <c r="A365" s="82"/>
      <c r="B365"/>
      <c r="C365"/>
      <c r="D365"/>
    </row>
    <row r="366" spans="1:4" ht="15" customHeight="1" x14ac:dyDescent="0.45">
      <c r="A366" s="82"/>
      <c r="B366"/>
      <c r="C366"/>
      <c r="D366"/>
    </row>
    <row r="367" spans="1:4" ht="15" customHeight="1" x14ac:dyDescent="0.45">
      <c r="A367" s="82"/>
      <c r="B367"/>
      <c r="C367"/>
      <c r="D367"/>
    </row>
    <row r="368" spans="1:4" ht="15" customHeight="1" x14ac:dyDescent="0.45">
      <c r="A368" s="82"/>
      <c r="B368"/>
      <c r="C368"/>
      <c r="D368"/>
    </row>
    <row r="369" spans="1:4" ht="15" customHeight="1" x14ac:dyDescent="0.45">
      <c r="A369" s="82"/>
      <c r="B369"/>
      <c r="C369"/>
      <c r="D369"/>
    </row>
    <row r="370" spans="1:4" ht="15" customHeight="1" x14ac:dyDescent="0.45">
      <c r="A370" s="82"/>
      <c r="B370"/>
      <c r="C370"/>
      <c r="D370"/>
    </row>
    <row r="371" spans="1:4" ht="15" customHeight="1" x14ac:dyDescent="0.45">
      <c r="A371" s="82"/>
      <c r="B371"/>
      <c r="C371"/>
      <c r="D371"/>
    </row>
    <row r="372" spans="1:4" ht="15" customHeight="1" x14ac:dyDescent="0.45">
      <c r="A372" s="82"/>
      <c r="B372"/>
      <c r="C372"/>
      <c r="D372"/>
    </row>
    <row r="373" spans="1:4" ht="15" customHeight="1" x14ac:dyDescent="0.45">
      <c r="A373" s="82"/>
      <c r="B373"/>
      <c r="C373"/>
      <c r="D373"/>
    </row>
    <row r="374" spans="1:4" ht="15" customHeight="1" x14ac:dyDescent="0.45">
      <c r="A374" s="82"/>
      <c r="B374"/>
      <c r="C374"/>
      <c r="D374"/>
    </row>
    <row r="375" spans="1:4" ht="15" customHeight="1" x14ac:dyDescent="0.45">
      <c r="A375" s="82"/>
      <c r="B375"/>
      <c r="C375"/>
      <c r="D375"/>
    </row>
    <row r="376" spans="1:4" ht="15" customHeight="1" x14ac:dyDescent="0.45">
      <c r="A376" s="82"/>
      <c r="B376"/>
      <c r="C376"/>
      <c r="D376"/>
    </row>
    <row r="377" spans="1:4" ht="15" customHeight="1" x14ac:dyDescent="0.45">
      <c r="A377" s="82"/>
      <c r="B377"/>
      <c r="C377"/>
      <c r="D377"/>
    </row>
    <row r="378" spans="1:4" ht="15" customHeight="1" x14ac:dyDescent="0.45">
      <c r="A378" s="82"/>
      <c r="B378"/>
      <c r="C378"/>
      <c r="D378"/>
    </row>
    <row r="379" spans="1:4" ht="15" customHeight="1" x14ac:dyDescent="0.45">
      <c r="A379" s="82"/>
      <c r="B379"/>
      <c r="C379"/>
      <c r="D379"/>
    </row>
    <row r="380" spans="1:4" ht="15" customHeight="1" x14ac:dyDescent="0.45">
      <c r="A380" s="82"/>
      <c r="B380"/>
      <c r="C380"/>
      <c r="D380"/>
    </row>
    <row r="381" spans="1:4" ht="15" customHeight="1" x14ac:dyDescent="0.45">
      <c r="A381" s="82"/>
      <c r="B381"/>
      <c r="C381"/>
      <c r="D381"/>
    </row>
    <row r="382" spans="1:4" ht="15" customHeight="1" x14ac:dyDescent="0.45">
      <c r="A382" s="82"/>
      <c r="B382"/>
      <c r="C382"/>
      <c r="D382"/>
    </row>
    <row r="383" spans="1:4" ht="15" customHeight="1" x14ac:dyDescent="0.45">
      <c r="A383" s="82"/>
      <c r="B383"/>
      <c r="C383"/>
      <c r="D383"/>
    </row>
    <row r="384" spans="1:4" ht="15" customHeight="1" x14ac:dyDescent="0.45">
      <c r="A384" s="82"/>
      <c r="B384"/>
      <c r="C384"/>
      <c r="D384"/>
    </row>
    <row r="385" spans="1:4" ht="15" customHeight="1" x14ac:dyDescent="0.45">
      <c r="A385" s="82"/>
      <c r="B385"/>
      <c r="C385"/>
      <c r="D385"/>
    </row>
    <row r="386" spans="1:4" ht="15" customHeight="1" x14ac:dyDescent="0.45">
      <c r="A386" s="82"/>
      <c r="B386"/>
      <c r="C386"/>
      <c r="D386"/>
    </row>
    <row r="387" spans="1:4" ht="15" customHeight="1" x14ac:dyDescent="0.45">
      <c r="A387" s="82"/>
      <c r="B387"/>
      <c r="C387"/>
      <c r="D387"/>
    </row>
    <row r="388" spans="1:4" ht="15" customHeight="1" x14ac:dyDescent="0.45">
      <c r="A388" s="82"/>
      <c r="B388"/>
      <c r="C388"/>
      <c r="D388"/>
    </row>
    <row r="389" spans="1:4" ht="15" customHeight="1" x14ac:dyDescent="0.45">
      <c r="A389" s="82"/>
      <c r="B389"/>
      <c r="C389"/>
      <c r="D389"/>
    </row>
    <row r="390" spans="1:4" ht="15" customHeight="1" x14ac:dyDescent="0.45">
      <c r="A390" s="82"/>
      <c r="B390"/>
      <c r="C390"/>
      <c r="D390"/>
    </row>
    <row r="391" spans="1:4" ht="15" customHeight="1" x14ac:dyDescent="0.45">
      <c r="A391" s="82"/>
      <c r="B391"/>
      <c r="C391"/>
      <c r="D391"/>
    </row>
    <row r="392" spans="1:4" ht="15" customHeight="1" x14ac:dyDescent="0.45">
      <c r="A392" s="82"/>
      <c r="B392"/>
      <c r="C392"/>
      <c r="D392"/>
    </row>
    <row r="393" spans="1:4" ht="15" customHeight="1" x14ac:dyDescent="0.45">
      <c r="A393" s="82"/>
      <c r="B393"/>
      <c r="C393"/>
      <c r="D393"/>
    </row>
    <row r="394" spans="1:4" ht="15" customHeight="1" x14ac:dyDescent="0.45">
      <c r="A394" s="82"/>
      <c r="B394"/>
      <c r="C394"/>
      <c r="D394"/>
    </row>
    <row r="395" spans="1:4" ht="15" customHeight="1" x14ac:dyDescent="0.45">
      <c r="A395" s="82"/>
      <c r="B395"/>
      <c r="C395"/>
      <c r="D395"/>
    </row>
    <row r="396" spans="1:4" ht="15" customHeight="1" x14ac:dyDescent="0.45">
      <c r="A396" s="82"/>
      <c r="B396"/>
      <c r="C396"/>
      <c r="D396"/>
    </row>
    <row r="397" spans="1:4" ht="15" customHeight="1" x14ac:dyDescent="0.45">
      <c r="A397" s="82"/>
      <c r="B397"/>
      <c r="C397"/>
      <c r="D397"/>
    </row>
    <row r="398" spans="1:4" ht="15" customHeight="1" x14ac:dyDescent="0.45">
      <c r="A398" s="82"/>
      <c r="B398"/>
      <c r="C398"/>
      <c r="D398"/>
    </row>
    <row r="399" spans="1:4" ht="15" customHeight="1" x14ac:dyDescent="0.45">
      <c r="A399" s="82"/>
      <c r="B399"/>
      <c r="C399"/>
      <c r="D399"/>
    </row>
    <row r="400" spans="1:4" ht="15" customHeight="1" x14ac:dyDescent="0.45">
      <c r="A400" s="82"/>
      <c r="B400"/>
      <c r="C400"/>
      <c r="D400"/>
    </row>
    <row r="401" spans="1:4" ht="15" customHeight="1" x14ac:dyDescent="0.45">
      <c r="A401" s="82"/>
      <c r="B401"/>
      <c r="C401"/>
      <c r="D401"/>
    </row>
    <row r="402" spans="1:4" ht="15" customHeight="1" x14ac:dyDescent="0.45">
      <c r="A402" s="82"/>
      <c r="B402"/>
      <c r="C402"/>
      <c r="D402"/>
    </row>
    <row r="403" spans="1:4" ht="15" customHeight="1" x14ac:dyDescent="0.45">
      <c r="A403" s="82"/>
      <c r="B403"/>
      <c r="C403"/>
      <c r="D403"/>
    </row>
    <row r="404" spans="1:4" ht="15" customHeight="1" x14ac:dyDescent="0.45">
      <c r="A404" s="82"/>
      <c r="B404"/>
      <c r="C404"/>
      <c r="D404"/>
    </row>
    <row r="405" spans="1:4" ht="15" customHeight="1" x14ac:dyDescent="0.45">
      <c r="A405" s="82"/>
      <c r="B405"/>
      <c r="C405"/>
      <c r="D405"/>
    </row>
    <row r="406" spans="1:4" ht="15" customHeight="1" x14ac:dyDescent="0.45">
      <c r="A406" s="82"/>
      <c r="B406"/>
      <c r="C406"/>
      <c r="D406"/>
    </row>
    <row r="407" spans="1:4" ht="15" customHeight="1" x14ac:dyDescent="0.45">
      <c r="A407" s="82"/>
      <c r="B407"/>
      <c r="C407"/>
      <c r="D407"/>
    </row>
    <row r="408" spans="1:4" ht="15" customHeight="1" x14ac:dyDescent="0.45">
      <c r="A408" s="82"/>
      <c r="B408"/>
      <c r="C408"/>
      <c r="D408"/>
    </row>
    <row r="409" spans="1:4" ht="15" customHeight="1" x14ac:dyDescent="0.45">
      <c r="A409" s="82"/>
      <c r="B409"/>
      <c r="C409"/>
      <c r="D409"/>
    </row>
    <row r="410" spans="1:4" ht="15" customHeight="1" x14ac:dyDescent="0.45">
      <c r="A410" s="82"/>
      <c r="B410"/>
      <c r="C410"/>
      <c r="D410"/>
    </row>
    <row r="411" spans="1:4" ht="15" customHeight="1" x14ac:dyDescent="0.45">
      <c r="A411" s="82"/>
      <c r="B411"/>
      <c r="C411"/>
      <c r="D411"/>
    </row>
    <row r="412" spans="1:4" ht="15" customHeight="1" x14ac:dyDescent="0.45">
      <c r="A412" s="82"/>
      <c r="B412"/>
      <c r="C412"/>
      <c r="D412"/>
    </row>
    <row r="413" spans="1:4" ht="15" customHeight="1" x14ac:dyDescent="0.45">
      <c r="A413" s="82"/>
      <c r="B413"/>
      <c r="C413"/>
      <c r="D413"/>
    </row>
    <row r="414" spans="1:4" ht="15" customHeight="1" x14ac:dyDescent="0.45">
      <c r="A414" s="82"/>
      <c r="B414"/>
      <c r="C414"/>
      <c r="D414"/>
    </row>
    <row r="415" spans="1:4" ht="15" customHeight="1" x14ac:dyDescent="0.45">
      <c r="A415" s="82"/>
      <c r="B415"/>
      <c r="C415"/>
      <c r="D415"/>
    </row>
    <row r="416" spans="1:4" ht="15" customHeight="1" x14ac:dyDescent="0.45">
      <c r="A416" s="82"/>
      <c r="B416"/>
      <c r="C416"/>
      <c r="D416"/>
    </row>
    <row r="417" spans="1:4" ht="15" customHeight="1" x14ac:dyDescent="0.45">
      <c r="A417" s="82"/>
      <c r="B417"/>
      <c r="C417"/>
      <c r="D417"/>
    </row>
    <row r="418" spans="1:4" ht="15" customHeight="1" x14ac:dyDescent="0.45">
      <c r="A418" s="82"/>
      <c r="B418"/>
      <c r="C418"/>
      <c r="D418"/>
    </row>
    <row r="419" spans="1:4" ht="15" customHeight="1" x14ac:dyDescent="0.45">
      <c r="A419" s="82"/>
      <c r="B419"/>
      <c r="C419"/>
      <c r="D419"/>
    </row>
    <row r="420" spans="1:4" ht="15" customHeight="1" x14ac:dyDescent="0.45">
      <c r="A420" s="82"/>
      <c r="B420"/>
      <c r="C420"/>
      <c r="D420"/>
    </row>
    <row r="421" spans="1:4" ht="15" customHeight="1" x14ac:dyDescent="0.45">
      <c r="A421" s="82"/>
      <c r="B421"/>
      <c r="C421"/>
      <c r="D421"/>
    </row>
    <row r="422" spans="1:4" ht="15" customHeight="1" x14ac:dyDescent="0.45">
      <c r="A422" s="82"/>
      <c r="B422"/>
      <c r="C422"/>
      <c r="D422"/>
    </row>
    <row r="423" spans="1:4" ht="15" customHeight="1" x14ac:dyDescent="0.45">
      <c r="A423" s="82"/>
      <c r="B423"/>
      <c r="C423"/>
      <c r="D423"/>
    </row>
    <row r="424" spans="1:4" ht="15" customHeight="1" x14ac:dyDescent="0.45">
      <c r="A424" s="82"/>
      <c r="B424"/>
      <c r="C424"/>
      <c r="D424"/>
    </row>
    <row r="425" spans="1:4" ht="15" customHeight="1" x14ac:dyDescent="0.45">
      <c r="A425" s="82"/>
      <c r="B425"/>
      <c r="C425"/>
      <c r="D425"/>
    </row>
    <row r="426" spans="1:4" ht="15" customHeight="1" x14ac:dyDescent="0.45">
      <c r="A426" s="82"/>
      <c r="B426"/>
      <c r="C426"/>
      <c r="D426"/>
    </row>
    <row r="427" spans="1:4" ht="15" customHeight="1" x14ac:dyDescent="0.45">
      <c r="A427" s="82"/>
      <c r="B427"/>
      <c r="C427"/>
      <c r="D427"/>
    </row>
    <row r="428" spans="1:4" ht="15" customHeight="1" x14ac:dyDescent="0.45">
      <c r="A428" s="82"/>
      <c r="B428"/>
      <c r="C428"/>
      <c r="D428"/>
    </row>
    <row r="429" spans="1:4" ht="15" customHeight="1" x14ac:dyDescent="0.45">
      <c r="A429" s="82"/>
      <c r="B429"/>
      <c r="C429"/>
      <c r="D429"/>
    </row>
    <row r="430" spans="1:4" ht="15" customHeight="1" x14ac:dyDescent="0.45">
      <c r="A430" s="82"/>
      <c r="B430"/>
      <c r="C430"/>
      <c r="D430"/>
    </row>
    <row r="431" spans="1:4" ht="15" customHeight="1" x14ac:dyDescent="0.45">
      <c r="A431" s="82"/>
      <c r="B431"/>
      <c r="C431"/>
      <c r="D431"/>
    </row>
    <row r="432" spans="1:4" ht="15" customHeight="1" x14ac:dyDescent="0.45">
      <c r="A432" s="82"/>
      <c r="B432"/>
      <c r="C432"/>
      <c r="D432"/>
    </row>
    <row r="433" spans="1:4" ht="15" customHeight="1" x14ac:dyDescent="0.45">
      <c r="A433" s="82"/>
      <c r="B433"/>
      <c r="C433"/>
      <c r="D433"/>
    </row>
    <row r="434" spans="1:4" ht="15" customHeight="1" x14ac:dyDescent="0.45">
      <c r="A434" s="82"/>
      <c r="B434"/>
      <c r="C434"/>
      <c r="D434"/>
    </row>
    <row r="435" spans="1:4" ht="15" customHeight="1" x14ac:dyDescent="0.45">
      <c r="A435" s="82"/>
      <c r="B435"/>
      <c r="C435"/>
      <c r="D435"/>
    </row>
    <row r="436" spans="1:4" ht="15" customHeight="1" x14ac:dyDescent="0.45">
      <c r="A436" s="82"/>
      <c r="B436"/>
      <c r="C436"/>
      <c r="D436"/>
    </row>
    <row r="437" spans="1:4" ht="15" customHeight="1" x14ac:dyDescent="0.45">
      <c r="A437" s="82"/>
      <c r="B437"/>
      <c r="C437"/>
      <c r="D437"/>
    </row>
    <row r="438" spans="1:4" ht="15" customHeight="1" x14ac:dyDescent="0.45">
      <c r="A438" s="82"/>
      <c r="B438"/>
      <c r="C438"/>
      <c r="D438"/>
    </row>
    <row r="439" spans="1:4" ht="15" customHeight="1" x14ac:dyDescent="0.45">
      <c r="A439" s="82"/>
      <c r="B439"/>
      <c r="C439"/>
      <c r="D439"/>
    </row>
    <row r="440" spans="1:4" ht="15" customHeight="1" x14ac:dyDescent="0.45">
      <c r="A440" s="82"/>
      <c r="B440"/>
      <c r="C440"/>
      <c r="D440"/>
    </row>
    <row r="441" spans="1:4" ht="15" customHeight="1" x14ac:dyDescent="0.45">
      <c r="A441" s="82"/>
      <c r="B441"/>
      <c r="C441"/>
      <c r="D441"/>
    </row>
    <row r="442" spans="1:4" ht="15" customHeight="1" x14ac:dyDescent="0.45">
      <c r="A442" s="82"/>
      <c r="B442"/>
      <c r="C442"/>
      <c r="D442"/>
    </row>
    <row r="443" spans="1:4" ht="15" customHeight="1" x14ac:dyDescent="0.45">
      <c r="A443" s="82"/>
      <c r="B443"/>
      <c r="C443"/>
      <c r="D443"/>
    </row>
    <row r="444" spans="1:4" ht="15" customHeight="1" x14ac:dyDescent="0.45">
      <c r="A444" s="82"/>
      <c r="B444"/>
      <c r="C444"/>
      <c r="D444"/>
    </row>
    <row r="445" spans="1:4" ht="15" customHeight="1" x14ac:dyDescent="0.45">
      <c r="A445" s="82"/>
      <c r="B445"/>
      <c r="C445"/>
      <c r="D445"/>
    </row>
    <row r="446" spans="1:4" ht="15" customHeight="1" x14ac:dyDescent="0.45">
      <c r="A446" s="82"/>
      <c r="B446"/>
      <c r="C446"/>
      <c r="D446"/>
    </row>
    <row r="447" spans="1:4" ht="15" customHeight="1" x14ac:dyDescent="0.45">
      <c r="A447" s="82"/>
      <c r="B447"/>
      <c r="C447"/>
      <c r="D447"/>
    </row>
    <row r="448" spans="1:4" ht="15" customHeight="1" x14ac:dyDescent="0.45">
      <c r="A448" s="82"/>
      <c r="B448"/>
      <c r="C448"/>
      <c r="D448"/>
    </row>
  </sheetData>
  <pageMargins left="0.7" right="0.7" top="0.75" bottom="0.75" header="0.3" footer="0.3"/>
  <pageSetup paperSize="9" scale="27" orientation="landscape" verticalDpi="1200" r:id="rId1"/>
  <headerFooter>
    <oddHeader xml:space="preserve">&amp;R&amp;10&amp;F 
&amp;A
</oddHeader>
    <oddFooter>&amp;L&amp;10© 2016&amp;C&amp;10Page &amp;P of &amp;N&amp;R&amp;G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6D2B5-D52C-417D-9AC5-C93B385AF656}">
  <dimension ref="A1:AA447"/>
  <sheetViews>
    <sheetView zoomScale="130" zoomScaleNormal="130" workbookViewId="0">
      <pane xSplit="4" ySplit="2" topLeftCell="E9" activePane="bottomRight" state="frozen"/>
      <selection pane="topRight" activeCell="E1" sqref="E1"/>
      <selection pane="bottomLeft" activeCell="A3" sqref="A3"/>
      <selection pane="bottomRight" activeCell="O20" sqref="O20"/>
    </sheetView>
  </sheetViews>
  <sheetFormatPr defaultColWidth="13.86328125" defaultRowHeight="15" customHeight="1" x14ac:dyDescent="0.45"/>
  <cols>
    <col min="1" max="1" width="1.53125" style="15" customWidth="1"/>
    <col min="2" max="2" width="27.19921875" style="16" customWidth="1"/>
    <col min="3" max="4" width="10.1328125" style="16" customWidth="1"/>
    <col min="5" max="5" width="4.796875" customWidth="1"/>
  </cols>
  <sheetData>
    <row r="1" spans="1:27" s="46" customFormat="1" ht="45" customHeight="1" x14ac:dyDescent="0.85">
      <c r="A1" s="5" t="str">
        <f>Info!A1</f>
        <v>Renewable Energy Modeling</v>
      </c>
      <c r="B1" s="10"/>
      <c r="C1" s="84"/>
      <c r="D1" s="10"/>
      <c r="E1" s="1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35" customFormat="1" ht="30" customHeight="1" x14ac:dyDescent="0.65">
      <c r="A2" s="14" t="str">
        <f ca="1">RIGHT(CELL("filename",A1),LEN(CELL("filename",A1))-SEARCH("]",CELL("filename", A1)))</f>
        <v>P&amp;L and Tax</v>
      </c>
      <c r="B2" s="7"/>
      <c r="C2" s="11" t="s">
        <v>11</v>
      </c>
      <c r="D2" s="11" t="s">
        <v>11</v>
      </c>
      <c r="E2" s="11"/>
      <c r="F2" s="11">
        <f>'Assumptions and Outputs'!D11</f>
        <v>55153</v>
      </c>
      <c r="G2" s="11">
        <f>EDATE(F2,12)</f>
        <v>55518</v>
      </c>
      <c r="H2" s="11">
        <f t="shared" ref="H2:AA2" si="0">EDATE(G2,12)</f>
        <v>55884</v>
      </c>
      <c r="I2" s="11">
        <f t="shared" si="0"/>
        <v>56249</v>
      </c>
      <c r="J2" s="11">
        <f t="shared" si="0"/>
        <v>56614</v>
      </c>
      <c r="K2" s="11">
        <f t="shared" si="0"/>
        <v>56979</v>
      </c>
      <c r="L2" s="11">
        <f t="shared" si="0"/>
        <v>57345</v>
      </c>
      <c r="M2" s="11">
        <f t="shared" si="0"/>
        <v>57710</v>
      </c>
      <c r="N2" s="11">
        <f t="shared" si="0"/>
        <v>58075</v>
      </c>
      <c r="O2" s="11">
        <f t="shared" si="0"/>
        <v>58440</v>
      </c>
      <c r="P2" s="11">
        <f t="shared" si="0"/>
        <v>58806</v>
      </c>
      <c r="Q2" s="11">
        <f t="shared" si="0"/>
        <v>59171</v>
      </c>
      <c r="R2" s="11">
        <f t="shared" si="0"/>
        <v>59536</v>
      </c>
      <c r="S2" s="11">
        <f t="shared" si="0"/>
        <v>59901</v>
      </c>
      <c r="T2" s="11">
        <f t="shared" si="0"/>
        <v>60267</v>
      </c>
      <c r="U2" s="11">
        <f t="shared" si="0"/>
        <v>60632</v>
      </c>
      <c r="V2" s="11">
        <f t="shared" si="0"/>
        <v>60997</v>
      </c>
      <c r="W2" s="11">
        <f t="shared" si="0"/>
        <v>61362</v>
      </c>
      <c r="X2" s="11">
        <f t="shared" si="0"/>
        <v>61728</v>
      </c>
      <c r="Y2" s="11">
        <f t="shared" si="0"/>
        <v>62093</v>
      </c>
      <c r="Z2" s="11">
        <f t="shared" si="0"/>
        <v>62458</v>
      </c>
      <c r="AA2" s="11">
        <f t="shared" si="0"/>
        <v>62823</v>
      </c>
    </row>
    <row r="3" spans="1:27" ht="15" customHeight="1" x14ac:dyDescent="0.45">
      <c r="A3" s="82"/>
      <c r="B3" s="77" t="str">
        <f>"all in "&amp;Local_currency&amp;" 000s unless stated"</f>
        <v>all in GBP 000s unless stated</v>
      </c>
      <c r="C3"/>
      <c r="D3"/>
      <c r="L3" t="str">
        <f t="shared" ref="L3:L5" ca="1" si="1">IF(ISBLANK(K3),"",_xlfn.FORMULATEXT(K3))</f>
        <v/>
      </c>
    </row>
    <row r="4" spans="1:27" ht="15" customHeight="1" x14ac:dyDescent="0.45">
      <c r="A4" s="82"/>
      <c r="B4" s="77"/>
      <c r="C4"/>
      <c r="D4"/>
      <c r="L4" t="str">
        <f t="shared" ca="1" si="1"/>
        <v/>
      </c>
    </row>
    <row r="5" spans="1:27" ht="15" customHeight="1" x14ac:dyDescent="0.45">
      <c r="A5" s="82" t="s">
        <v>135</v>
      </c>
      <c r="B5" s="77"/>
      <c r="C5"/>
      <c r="D5"/>
      <c r="L5" t="str">
        <f t="shared" ca="1" si="1"/>
        <v/>
      </c>
    </row>
    <row r="6" spans="1:27" ht="15" customHeight="1" x14ac:dyDescent="0.45">
      <c r="A6" s="82"/>
      <c r="B6" t="s">
        <v>108</v>
      </c>
      <c r="C6"/>
      <c r="D6"/>
      <c r="F6">
        <f ca="1">Operations!F50</f>
        <v>0</v>
      </c>
      <c r="G6">
        <f ca="1">Operations!G50</f>
        <v>0</v>
      </c>
      <c r="H6">
        <f ca="1">Operations!H50</f>
        <v>16412.825750287851</v>
      </c>
      <c r="I6">
        <f ca="1">Operations!I50</f>
        <v>21955.44642802226</v>
      </c>
      <c r="J6">
        <f ca="1">Operations!J50</f>
        <v>30156.830954725949</v>
      </c>
      <c r="K6">
        <f ca="1">Operations!K50</f>
        <v>30476.773194043519</v>
      </c>
      <c r="L6">
        <f ca="1">Operations!L50</f>
        <v>30823.703792569078</v>
      </c>
      <c r="M6">
        <f ca="1">Operations!M50</f>
        <v>31198.702284670948</v>
      </c>
      <c r="N6">
        <f ca="1">Operations!N50</f>
        <v>31602.89138609216</v>
      </c>
      <c r="O6">
        <f ca="1">Operations!O50</f>
        <v>32037.438721205523</v>
      </c>
      <c r="P6">
        <f ca="1">Operations!P50</f>
        <v>32503.558619358679</v>
      </c>
      <c r="Q6">
        <f ca="1">Operations!Q50</f>
        <v>33002.513983073251</v>
      </c>
      <c r="R6">
        <f ca="1">Operations!R50</f>
        <v>33535.61823097169</v>
      </c>
      <c r="S6">
        <f ca="1">Operations!S50</f>
        <v>34104.237318421328</v>
      </c>
      <c r="T6">
        <f ca="1">Operations!T50</f>
        <v>34709.79183900424</v>
      </c>
      <c r="U6">
        <f ca="1">Operations!U50</f>
        <v>35353.759210045755</v>
      </c>
      <c r="V6">
        <f ca="1">Operations!V50</f>
        <v>36037.675945564202</v>
      </c>
      <c r="W6">
        <f ca="1">Operations!W50</f>
        <v>36763.140020138686</v>
      </c>
      <c r="X6">
        <f ca="1">Operations!X50</f>
        <v>37531.813327331402</v>
      </c>
      <c r="Y6">
        <f ca="1">Operations!Y50</f>
        <v>32757.848067555467</v>
      </c>
      <c r="Z6">
        <f ca="1">Operations!Z50</f>
        <v>33834.63434201655</v>
      </c>
      <c r="AA6">
        <f ca="1">Operations!AA50</f>
        <v>34960.025126717526</v>
      </c>
    </row>
    <row r="7" spans="1:27" ht="15" customHeight="1" x14ac:dyDescent="0.45">
      <c r="A7" s="82"/>
      <c r="B7" t="s">
        <v>123</v>
      </c>
      <c r="C7"/>
      <c r="D7"/>
      <c r="F7">
        <f ca="1">'Sources and Uses'!F50</f>
        <v>0</v>
      </c>
      <c r="G7">
        <f ca="1">'Sources and Uses'!G50</f>
        <v>0</v>
      </c>
      <c r="H7">
        <f ca="1">'Sources and Uses'!H50</f>
        <v>-11918.453754745999</v>
      </c>
      <c r="I7">
        <f ca="1">'Sources and Uses'!I50</f>
        <v>-11918.453754745999</v>
      </c>
      <c r="J7">
        <f ca="1">'Sources and Uses'!J50</f>
        <v>-11918.453754745999</v>
      </c>
      <c r="K7">
        <f ca="1">'Sources and Uses'!K50</f>
        <v>-11918.453754745999</v>
      </c>
      <c r="L7">
        <f ca="1">'Sources and Uses'!L50</f>
        <v>-11918.453754745999</v>
      </c>
      <c r="M7">
        <f ca="1">'Sources and Uses'!M50</f>
        <v>-11918.453754745999</v>
      </c>
      <c r="N7">
        <f ca="1">'Sources and Uses'!N50</f>
        <v>-11918.453754745999</v>
      </c>
      <c r="O7">
        <f ca="1">'Sources and Uses'!O50</f>
        <v>-11918.453754745999</v>
      </c>
      <c r="P7">
        <f ca="1">'Sources and Uses'!P50</f>
        <v>-11918.453754745999</v>
      </c>
      <c r="Q7">
        <f ca="1">'Sources and Uses'!Q50</f>
        <v>-11918.453754745999</v>
      </c>
      <c r="R7">
        <f ca="1">'Sources and Uses'!R50</f>
        <v>-11918.453754745999</v>
      </c>
      <c r="S7">
        <f ca="1">'Sources and Uses'!S50</f>
        <v>-11918.453754745999</v>
      </c>
      <c r="T7">
        <f ca="1">'Sources and Uses'!T50</f>
        <v>-11918.453754745999</v>
      </c>
      <c r="U7">
        <f ca="1">'Sources and Uses'!U50</f>
        <v>-11918.453754745999</v>
      </c>
      <c r="V7">
        <f ca="1">'Sources and Uses'!V50</f>
        <v>-11918.453754745999</v>
      </c>
      <c r="W7">
        <f ca="1">'Sources and Uses'!W50</f>
        <v>-11918.453754745999</v>
      </c>
      <c r="X7">
        <f ca="1">'Sources and Uses'!X50</f>
        <v>-11918.453754745999</v>
      </c>
      <c r="Y7">
        <f ca="1">'Sources and Uses'!Y50</f>
        <v>-11918.453754745999</v>
      </c>
      <c r="Z7">
        <f ca="1">'Sources and Uses'!Z50</f>
        <v>-11918.453754745999</v>
      </c>
      <c r="AA7">
        <f ca="1">'Sources and Uses'!AA50</f>
        <v>-11918.453754745868</v>
      </c>
    </row>
    <row r="8" spans="1:27" ht="15" customHeight="1" x14ac:dyDescent="0.45">
      <c r="A8" s="82"/>
      <c r="B8" t="s">
        <v>136</v>
      </c>
      <c r="C8"/>
      <c r="D8"/>
      <c r="E8" s="94"/>
      <c r="F8" s="90">
        <f ca="1">IF(circ_switch=1,Debt!F50,0)</f>
        <v>0</v>
      </c>
      <c r="G8" s="90">
        <f ca="1">IF(circ_switch=1,Debt!G50,0)</f>
        <v>28.664487484521306</v>
      </c>
      <c r="H8" s="90">
        <f ca="1">IF(circ_switch=1,Debt!H50,0)</f>
        <v>57.346890273720582</v>
      </c>
      <c r="I8" s="90">
        <f ca="1">IF(circ_switch=1,Debt!I50,0)</f>
        <v>95.127935037880505</v>
      </c>
      <c r="J8" s="90">
        <f ca="1">IF(circ_switch=1,Debt!J50,0)</f>
        <v>131.1172307929524</v>
      </c>
      <c r="K8" s="90">
        <f ca="1">IF(circ_switch=1,Debt!K50,0)</f>
        <v>127.56956338413228</v>
      </c>
      <c r="L8" s="90">
        <f ca="1">IF(circ_switch=1,Debt!L50,0)</f>
        <v>124.02189597531216</v>
      </c>
      <c r="M8" s="90">
        <f ca="1">IF(circ_switch=1,Debt!M50,0)</f>
        <v>120.47422856649206</v>
      </c>
      <c r="N8" s="90">
        <f ca="1">IF(circ_switch=1,Debt!N50,0)</f>
        <v>116.92656115767196</v>
      </c>
      <c r="O8" s="90">
        <f ca="1">IF(circ_switch=1,Debt!O50,0)</f>
        <v>113.37889374885185</v>
      </c>
      <c r="P8" s="90">
        <f ca="1">IF(circ_switch=1,Debt!P50,0)</f>
        <v>109.83122634003172</v>
      </c>
      <c r="Q8" s="90">
        <f ca="1">IF(circ_switch=1,Debt!Q50,0)</f>
        <v>106.28355893121162</v>
      </c>
      <c r="R8" s="90">
        <f ca="1">IF(circ_switch=1,Debt!R50,0)</f>
        <v>102.73589152239151</v>
      </c>
      <c r="S8" s="90">
        <f ca="1">IF(circ_switch=1,Debt!S50,0)</f>
        <v>99.188224113571394</v>
      </c>
      <c r="T8" s="90">
        <f ca="1">IF(circ_switch=1,Debt!T50,0)</f>
        <v>95.64055670475129</v>
      </c>
      <c r="U8" s="90">
        <f ca="1">IF(circ_switch=1,Debt!U50,0)</f>
        <v>92.092889295931187</v>
      </c>
      <c r="V8" s="90">
        <f ca="1">IF(circ_switch=1,Debt!V50,0)</f>
        <v>88.545221887111083</v>
      </c>
      <c r="W8" s="90">
        <f ca="1">IF(circ_switch=1,Debt!W50,0)</f>
        <v>84.997554478290837</v>
      </c>
      <c r="X8" s="90">
        <f ca="1">IF(circ_switch=1,Debt!X50,0)</f>
        <v>53.512006225012378</v>
      </c>
      <c r="Y8" s="90">
        <f ca="1">IF(circ_switch=1,Debt!Y50,0)</f>
        <v>23.108659268461253</v>
      </c>
      <c r="Z8" s="90">
        <f ca="1">IF(circ_switch=1,Debt!Z50,0)</f>
        <v>21.725394453095578</v>
      </c>
      <c r="AA8" s="90">
        <f ca="1">IF(circ_switch=1,Debt!AA50,0)</f>
        <v>10.516881022706366</v>
      </c>
    </row>
    <row r="9" spans="1:27" ht="15" customHeight="1" x14ac:dyDescent="0.45">
      <c r="A9" s="82"/>
      <c r="B9" t="s">
        <v>137</v>
      </c>
      <c r="C9"/>
      <c r="D9"/>
      <c r="E9" s="94"/>
      <c r="F9" s="90">
        <f ca="1">IF(circ_switch=1,Debt!F57,0)</f>
        <v>0</v>
      </c>
      <c r="G9" s="90">
        <f ca="1">IF(circ_switch=1,Debt!G57,0)</f>
        <v>0</v>
      </c>
      <c r="H9" s="90">
        <f ca="1">IF(circ_switch=1,Debt!H57,0)</f>
        <v>-5736.4805578398555</v>
      </c>
      <c r="I9" s="90">
        <f ca="1">IF(circ_switch=1,Debt!I57,0)</f>
        <v>-5736.4805578398555</v>
      </c>
      <c r="J9" s="90">
        <f ca="1">IF(circ_switch=1,Debt!J57,0)</f>
        <v>-5559.097187398851</v>
      </c>
      <c r="K9" s="90">
        <f ca="1">IF(circ_switch=1,Debt!K57,0)</f>
        <v>-5204.3304465168385</v>
      </c>
      <c r="L9" s="90">
        <f ca="1">IF(circ_switch=1,Debt!L57,0)</f>
        <v>-4849.5637056348278</v>
      </c>
      <c r="M9" s="90">
        <f ca="1">IF(circ_switch=1,Debt!M57,0)</f>
        <v>-4494.7969647528171</v>
      </c>
      <c r="N9" s="90">
        <f ca="1">IF(circ_switch=1,Debt!N57,0)</f>
        <v>-4140.0302238708064</v>
      </c>
      <c r="O9" s="90">
        <f ca="1">IF(circ_switch=1,Debt!O57,0)</f>
        <v>-3785.2634829887957</v>
      </c>
      <c r="P9" s="90">
        <f ca="1">IF(circ_switch=1,Debt!P57,0)</f>
        <v>-3430.496742106784</v>
      </c>
      <c r="Q9" s="90">
        <f ca="1">IF(circ_switch=1,Debt!Q57,0)</f>
        <v>-3075.7300012247733</v>
      </c>
      <c r="R9" s="90">
        <f ca="1">IF(circ_switch=1,Debt!R57,0)</f>
        <v>-2720.9632603427617</v>
      </c>
      <c r="S9" s="90">
        <f ca="1">IF(circ_switch=1,Debt!S57,0)</f>
        <v>-2366.196519460751</v>
      </c>
      <c r="T9" s="90">
        <f ca="1">IF(circ_switch=1,Debt!T57,0)</f>
        <v>-2011.4297785787398</v>
      </c>
      <c r="U9" s="90">
        <f ca="1">IF(circ_switch=1,Debt!U57,0)</f>
        <v>-1656.6630376967287</v>
      </c>
      <c r="V9" s="90">
        <f ca="1">IF(circ_switch=1,Debt!V57,0)</f>
        <v>-1301.8962968147177</v>
      </c>
      <c r="W9" s="90">
        <f ca="1">IF(circ_switch=1,Debt!W57,0)</f>
        <v>-947.12955593270681</v>
      </c>
      <c r="X9" s="90">
        <f ca="1">IF(circ_switch=1,Debt!X57,0)</f>
        <v>-592.36281505069633</v>
      </c>
      <c r="Y9" s="90">
        <f ca="1">IF(circ_switch=1,Debt!Y57,0)</f>
        <v>-345.81620384140933</v>
      </c>
      <c r="Z9" s="90">
        <f ca="1">IF(circ_switch=1,Debt!Z57,0)</f>
        <v>-207.48972230484543</v>
      </c>
      <c r="AA9" s="90">
        <f ca="1">IF(circ_switch=1,Debt!AA57,0)</f>
        <v>-69.163240768281739</v>
      </c>
    </row>
    <row r="10" spans="1:27" ht="15" customHeight="1" x14ac:dyDescent="0.45">
      <c r="A10" s="82"/>
      <c r="B10" t="s">
        <v>135</v>
      </c>
      <c r="C10"/>
      <c r="D10"/>
      <c r="F10">
        <f ca="1">SUM(F6:F9)</f>
        <v>0</v>
      </c>
      <c r="G10">
        <f t="shared" ref="G10:K10" ca="1" si="2">SUM(G6:G9)</f>
        <v>28.664487484521306</v>
      </c>
      <c r="H10">
        <f t="shared" ca="1" si="2"/>
        <v>-1184.7616720242822</v>
      </c>
      <c r="I10">
        <f t="shared" ca="1" si="2"/>
        <v>4395.6400504742869</v>
      </c>
      <c r="J10">
        <f t="shared" ca="1" si="2"/>
        <v>12810.397243374051</v>
      </c>
      <c r="K10">
        <f t="shared" ca="1" si="2"/>
        <v>13481.558556164813</v>
      </c>
      <c r="L10">
        <f t="shared" ref="L10:AA10" ca="1" si="3">SUM(L6:L9)</f>
        <v>14179.708228163563</v>
      </c>
      <c r="M10">
        <f t="shared" ca="1" si="3"/>
        <v>14905.925793738623</v>
      </c>
      <c r="N10">
        <f t="shared" ca="1" si="3"/>
        <v>15661.333968633026</v>
      </c>
      <c r="O10">
        <f t="shared" ca="1" si="3"/>
        <v>16447.100377219584</v>
      </c>
      <c r="P10">
        <f t="shared" ca="1" si="3"/>
        <v>17264.439348845928</v>
      </c>
      <c r="Q10">
        <f t="shared" ca="1" si="3"/>
        <v>18114.613786033693</v>
      </c>
      <c r="R10">
        <f t="shared" ca="1" si="3"/>
        <v>18998.93710740532</v>
      </c>
      <c r="S10">
        <f t="shared" ca="1" si="3"/>
        <v>19918.775268328151</v>
      </c>
      <c r="T10">
        <f t="shared" ca="1" si="3"/>
        <v>20875.548862384254</v>
      </c>
      <c r="U10">
        <f t="shared" ca="1" si="3"/>
        <v>21870.735306898958</v>
      </c>
      <c r="V10">
        <f t="shared" ca="1" si="3"/>
        <v>22905.871115890597</v>
      </c>
      <c r="W10">
        <f t="shared" ca="1" si="3"/>
        <v>23982.554263938269</v>
      </c>
      <c r="X10">
        <f t="shared" ca="1" si="3"/>
        <v>25074.508763759721</v>
      </c>
      <c r="Y10">
        <f t="shared" ca="1" si="3"/>
        <v>20516.686768236523</v>
      </c>
      <c r="Z10">
        <f t="shared" ca="1" si="3"/>
        <v>21730.416259418802</v>
      </c>
      <c r="AA10">
        <f t="shared" ca="1" si="3"/>
        <v>22982.925012226086</v>
      </c>
    </row>
    <row r="11" spans="1:27" ht="15" customHeight="1" x14ac:dyDescent="0.45">
      <c r="A11" s="82"/>
      <c r="B11"/>
      <c r="C11"/>
      <c r="D11"/>
    </row>
    <row r="12" spans="1:27" ht="15" customHeight="1" x14ac:dyDescent="0.45">
      <c r="A12" s="82" t="s">
        <v>138</v>
      </c>
      <c r="B12"/>
      <c r="C12"/>
      <c r="D12"/>
    </row>
    <row r="13" spans="1:27" ht="15" customHeight="1" x14ac:dyDescent="0.45">
      <c r="A13" s="82"/>
      <c r="B13" t="s">
        <v>202</v>
      </c>
      <c r="C13"/>
      <c r="D13"/>
      <c r="F13" s="93" t="str">
        <f ca="1">IFERROR(F9/F6*-1,"na")</f>
        <v>na</v>
      </c>
      <c r="G13" s="93" t="str">
        <f t="shared" ref="G13:K13" ca="1" si="4">IFERROR(G9/G6*-1,"na")</f>
        <v>na</v>
      </c>
      <c r="H13" s="93">
        <f t="shared" ca="1" si="4"/>
        <v>0.34951206118417777</v>
      </c>
      <c r="I13" s="93">
        <f t="shared" ca="1" si="4"/>
        <v>0.2612782471377238</v>
      </c>
      <c r="J13" s="93">
        <f t="shared" ca="1" si="4"/>
        <v>0.18433956789904915</v>
      </c>
      <c r="K13" s="93">
        <f t="shared" ca="1" si="4"/>
        <v>0.17076382769859605</v>
      </c>
      <c r="L13" s="93">
        <f t="shared" ref="L13:AA13" ca="1" si="5">IFERROR(L9/L6*-1,"na")</f>
        <v>0.15733228356560938</v>
      </c>
      <c r="M13" s="93">
        <f t="shared" ca="1" si="5"/>
        <v>0.14406999764734682</v>
      </c>
      <c r="N13" s="93">
        <f t="shared" ca="1" si="5"/>
        <v>0.13100162808814247</v>
      </c>
      <c r="O13" s="93">
        <f t="shared" ca="1" si="5"/>
        <v>0.11815125160062613</v>
      </c>
      <c r="P13" s="93">
        <f t="shared" ca="1" si="5"/>
        <v>0.10554218946548292</v>
      </c>
      <c r="Q13" s="93">
        <f t="shared" ca="1" si="5"/>
        <v>9.3196839574169799E-2</v>
      </c>
      <c r="R13" s="93">
        <f t="shared" ca="1" si="5"/>
        <v>8.1136517048903747E-2</v>
      </c>
      <c r="S13" s="93">
        <f t="shared" ca="1" si="5"/>
        <v>6.9381305829192524E-2</v>
      </c>
      <c r="T13" s="93">
        <f t="shared" ca="1" si="5"/>
        <v>5.7949923408023643E-2</v>
      </c>
      <c r="U13" s="93">
        <f t="shared" ca="1" si="5"/>
        <v>4.6859600639752863E-2</v>
      </c>
      <c r="V13" s="93">
        <f t="shared" ca="1" si="5"/>
        <v>3.6125978234036626E-2</v>
      </c>
      <c r="W13" s="93">
        <f t="shared" ca="1" si="5"/>
        <v>2.5763021205856558E-2</v>
      </c>
      <c r="X13" s="93">
        <f t="shared" ca="1" si="5"/>
        <v>1.5782952182044615E-2</v>
      </c>
      <c r="Y13" s="93">
        <f t="shared" ca="1" si="5"/>
        <v>1.0556743627610813E-2</v>
      </c>
      <c r="Z13" s="93">
        <f t="shared" ca="1" si="5"/>
        <v>6.1324653373652808E-3</v>
      </c>
      <c r="AA13" s="93">
        <f t="shared" ca="1" si="5"/>
        <v>1.9783521469904511E-3</v>
      </c>
    </row>
    <row r="14" spans="1:27" ht="15" customHeight="1" x14ac:dyDescent="0.45">
      <c r="A14" s="82"/>
      <c r="B14" t="s">
        <v>203</v>
      </c>
      <c r="C14" t="s">
        <v>204</v>
      </c>
      <c r="D14" s="91">
        <f>'Assumptions and Outputs'!D57</f>
        <v>0.3</v>
      </c>
      <c r="F14" s="93" t="str">
        <f ca="1">IFERROR(MAX(F13-$D$14,0),"na")</f>
        <v>na</v>
      </c>
      <c r="G14" s="93" t="str">
        <f t="shared" ref="G14:K14" ca="1" si="6">IFERROR(MAX(G13-$D$14,0),"na")</f>
        <v>na</v>
      </c>
      <c r="H14" s="93">
        <f t="shared" ca="1" si="6"/>
        <v>4.951206118417778E-2</v>
      </c>
      <c r="I14" s="93">
        <f t="shared" ca="1" si="6"/>
        <v>0</v>
      </c>
      <c r="J14" s="93">
        <f t="shared" ca="1" si="6"/>
        <v>0</v>
      </c>
      <c r="K14" s="93">
        <f t="shared" ca="1" si="6"/>
        <v>0</v>
      </c>
      <c r="L14" s="93">
        <f t="shared" ref="L14" ca="1" si="7">IFERROR(MAX(L13-$D$14,0),"na")</f>
        <v>0</v>
      </c>
      <c r="M14" s="93">
        <f t="shared" ref="M14" ca="1" si="8">IFERROR(MAX(M13-$D$14,0),"na")</f>
        <v>0</v>
      </c>
      <c r="N14" s="93">
        <f t="shared" ref="N14" ca="1" si="9">IFERROR(MAX(N13-$D$14,0),"na")</f>
        <v>0</v>
      </c>
      <c r="O14" s="93">
        <f t="shared" ref="O14" ca="1" si="10">IFERROR(MAX(O13-$D$14,0),"na")</f>
        <v>0</v>
      </c>
      <c r="P14" s="93">
        <f t="shared" ref="P14" ca="1" si="11">IFERROR(MAX(P13-$D$14,0),"na")</f>
        <v>0</v>
      </c>
      <c r="Q14" s="93">
        <f t="shared" ref="Q14" ca="1" si="12">IFERROR(MAX(Q13-$D$14,0),"na")</f>
        <v>0</v>
      </c>
      <c r="R14" s="93">
        <f t="shared" ref="R14" ca="1" si="13">IFERROR(MAX(R13-$D$14,0),"na")</f>
        <v>0</v>
      </c>
      <c r="S14" s="93">
        <f t="shared" ref="S14" ca="1" si="14">IFERROR(MAX(S13-$D$14,0),"na")</f>
        <v>0</v>
      </c>
      <c r="T14" s="93">
        <f t="shared" ref="T14" ca="1" si="15">IFERROR(MAX(T13-$D$14,0),"na")</f>
        <v>0</v>
      </c>
      <c r="U14" s="93">
        <f t="shared" ref="U14" ca="1" si="16">IFERROR(MAX(U13-$D$14,0),"na")</f>
        <v>0</v>
      </c>
      <c r="V14" s="93">
        <f t="shared" ref="V14" ca="1" si="17">IFERROR(MAX(V13-$D$14,0),"na")</f>
        <v>0</v>
      </c>
      <c r="W14" s="93">
        <f t="shared" ref="W14" ca="1" si="18">IFERROR(MAX(W13-$D$14,0),"na")</f>
        <v>0</v>
      </c>
      <c r="X14" s="93">
        <f t="shared" ref="X14" ca="1" si="19">IFERROR(MAX(X13-$D$14,0),"na")</f>
        <v>0</v>
      </c>
      <c r="Y14" s="93">
        <f t="shared" ref="Y14" ca="1" si="20">IFERROR(MAX(Y13-$D$14,0),"na")</f>
        <v>0</v>
      </c>
      <c r="Z14" s="93">
        <f t="shared" ref="Z14" ca="1" si="21">IFERROR(MAX(Z13-$D$14,0),"na")</f>
        <v>0</v>
      </c>
      <c r="AA14" s="93">
        <f t="shared" ref="AA14" ca="1" si="22">IFERROR(MAX(AA13-$D$14,0),"na")</f>
        <v>0</v>
      </c>
    </row>
    <row r="15" spans="1:27" ht="15" customHeight="1" x14ac:dyDescent="0.45">
      <c r="A15" s="82"/>
      <c r="B15" t="s">
        <v>205</v>
      </c>
      <c r="C15" t="s">
        <v>204</v>
      </c>
      <c r="D15" s="91">
        <f>'Assumptions and Outputs'!D57</f>
        <v>0.3</v>
      </c>
      <c r="F15" s="93" t="str">
        <f ca="1">IFERROR(MIN(F13-$D$14,0)*-1,"na")</f>
        <v>na</v>
      </c>
      <c r="G15" s="93" t="str">
        <f t="shared" ref="G15:K15" ca="1" si="23">IFERROR(MIN(G13-$D$14,0)*-1,"na")</f>
        <v>na</v>
      </c>
      <c r="H15" s="93">
        <f t="shared" ca="1" si="23"/>
        <v>0</v>
      </c>
      <c r="I15" s="93">
        <f t="shared" ca="1" si="23"/>
        <v>3.8721752862276193E-2</v>
      </c>
      <c r="J15" s="93">
        <f t="shared" ca="1" si="23"/>
        <v>0.11566043210095084</v>
      </c>
      <c r="K15" s="93">
        <f t="shared" ca="1" si="23"/>
        <v>0.12923617230140394</v>
      </c>
      <c r="L15" s="93">
        <f t="shared" ref="L15:AA15" ca="1" si="24">IFERROR(MIN(L13-$D$14,0)*-1,"na")</f>
        <v>0.14266771643439061</v>
      </c>
      <c r="M15" s="93">
        <f t="shared" ca="1" si="24"/>
        <v>0.15593000235265317</v>
      </c>
      <c r="N15" s="93">
        <f t="shared" ca="1" si="24"/>
        <v>0.16899837191185751</v>
      </c>
      <c r="O15" s="93">
        <f t="shared" ca="1" si="24"/>
        <v>0.18184874839937387</v>
      </c>
      <c r="P15" s="93">
        <f t="shared" ca="1" si="24"/>
        <v>0.19445781053451705</v>
      </c>
      <c r="Q15" s="93">
        <f t="shared" ca="1" si="24"/>
        <v>0.20680316042583019</v>
      </c>
      <c r="R15" s="93">
        <f t="shared" ca="1" si="24"/>
        <v>0.21886348295109626</v>
      </c>
      <c r="S15" s="93">
        <f t="shared" ca="1" si="24"/>
        <v>0.23061869417080746</v>
      </c>
      <c r="T15" s="93">
        <f t="shared" ca="1" si="24"/>
        <v>0.24205007659197636</v>
      </c>
      <c r="U15" s="93">
        <f t="shared" ca="1" si="24"/>
        <v>0.25314039936024713</v>
      </c>
      <c r="V15" s="93">
        <f t="shared" ca="1" si="24"/>
        <v>0.26387402176596336</v>
      </c>
      <c r="W15" s="93">
        <f t="shared" ca="1" si="24"/>
        <v>0.27423697879414344</v>
      </c>
      <c r="X15" s="93">
        <f t="shared" ca="1" si="24"/>
        <v>0.28421704781795537</v>
      </c>
      <c r="Y15" s="93">
        <f t="shared" ca="1" si="24"/>
        <v>0.28944325637238916</v>
      </c>
      <c r="Z15" s="93">
        <f t="shared" ca="1" si="24"/>
        <v>0.29386753466263471</v>
      </c>
      <c r="AA15" s="93">
        <f t="shared" ca="1" si="24"/>
        <v>0.29802164785300955</v>
      </c>
    </row>
    <row r="16" spans="1:27" ht="15" customHeight="1" x14ac:dyDescent="0.45">
      <c r="A16"/>
      <c r="B16"/>
      <c r="C16"/>
      <c r="D16"/>
    </row>
    <row r="17" spans="1:27" ht="15" customHeight="1" x14ac:dyDescent="0.45">
      <c r="A17" s="82"/>
      <c r="B17" t="s">
        <v>206</v>
      </c>
      <c r="C17"/>
      <c r="D17" s="91"/>
      <c r="F17" s="90">
        <f>E20</f>
        <v>0</v>
      </c>
      <c r="G17" s="90">
        <f t="shared" ref="G17:K17" ca="1" si="25">F20</f>
        <v>0</v>
      </c>
      <c r="H17" s="90">
        <f t="shared" ca="1" si="25"/>
        <v>0</v>
      </c>
      <c r="I17" s="90">
        <f t="shared" ca="1" si="25"/>
        <v>812.63283275350068</v>
      </c>
      <c r="J17" s="90">
        <f t="shared" ca="1" si="25"/>
        <v>0</v>
      </c>
      <c r="K17" s="90">
        <f t="shared" ca="1" si="25"/>
        <v>0</v>
      </c>
      <c r="L17" s="90">
        <f t="shared" ref="L17:AA17" ca="1" si="26">K20</f>
        <v>0</v>
      </c>
      <c r="M17" s="90">
        <f t="shared" ca="1" si="26"/>
        <v>0</v>
      </c>
      <c r="N17" s="90">
        <f t="shared" ca="1" si="26"/>
        <v>0</v>
      </c>
      <c r="O17" s="90">
        <f t="shared" ca="1" si="26"/>
        <v>0</v>
      </c>
      <c r="P17" s="90">
        <f t="shared" ca="1" si="26"/>
        <v>0</v>
      </c>
      <c r="Q17" s="90">
        <f t="shared" ca="1" si="26"/>
        <v>0</v>
      </c>
      <c r="R17" s="90">
        <f t="shared" ca="1" si="26"/>
        <v>0</v>
      </c>
      <c r="S17" s="90">
        <f t="shared" ca="1" si="26"/>
        <v>0</v>
      </c>
      <c r="T17" s="90">
        <f t="shared" ca="1" si="26"/>
        <v>0</v>
      </c>
      <c r="U17" s="90">
        <f t="shared" ca="1" si="26"/>
        <v>0</v>
      </c>
      <c r="V17" s="90">
        <f t="shared" ca="1" si="26"/>
        <v>0</v>
      </c>
      <c r="W17" s="90">
        <f t="shared" ca="1" si="26"/>
        <v>0</v>
      </c>
      <c r="X17" s="90">
        <f t="shared" ca="1" si="26"/>
        <v>0</v>
      </c>
      <c r="Y17" s="90">
        <f t="shared" ca="1" si="26"/>
        <v>0</v>
      </c>
      <c r="Z17" s="90">
        <f t="shared" ca="1" si="26"/>
        <v>0</v>
      </c>
      <c r="AA17" s="90">
        <f t="shared" ca="1" si="26"/>
        <v>0</v>
      </c>
    </row>
    <row r="18" spans="1:27" ht="15" customHeight="1" x14ac:dyDescent="0.45">
      <c r="A18" s="82"/>
      <c r="B18" t="s">
        <v>207</v>
      </c>
      <c r="C18"/>
      <c r="D18" s="91"/>
      <c r="F18" s="90">
        <f ca="1">IFERROR(F14*F6,0)</f>
        <v>0</v>
      </c>
      <c r="G18" s="90">
        <f t="shared" ref="G18:K18" ca="1" si="27">IFERROR(G14*G6,0)</f>
        <v>0</v>
      </c>
      <c r="H18" s="90">
        <f t="shared" ca="1" si="27"/>
        <v>812.63283275350068</v>
      </c>
      <c r="I18" s="90">
        <f t="shared" ca="1" si="27"/>
        <v>0</v>
      </c>
      <c r="J18" s="90">
        <f t="shared" ca="1" si="27"/>
        <v>0</v>
      </c>
      <c r="K18" s="90">
        <f t="shared" ca="1" si="27"/>
        <v>0</v>
      </c>
      <c r="L18" s="90">
        <f t="shared" ref="L18:AA18" ca="1" si="28">IFERROR(L14*L6,0)</f>
        <v>0</v>
      </c>
      <c r="M18" s="90">
        <f t="shared" ca="1" si="28"/>
        <v>0</v>
      </c>
      <c r="N18" s="90">
        <f t="shared" ca="1" si="28"/>
        <v>0</v>
      </c>
      <c r="O18" s="90">
        <f t="shared" ca="1" si="28"/>
        <v>0</v>
      </c>
      <c r="P18" s="90">
        <f t="shared" ca="1" si="28"/>
        <v>0</v>
      </c>
      <c r="Q18" s="90">
        <f t="shared" ca="1" si="28"/>
        <v>0</v>
      </c>
      <c r="R18" s="90">
        <f t="shared" ca="1" si="28"/>
        <v>0</v>
      </c>
      <c r="S18" s="90">
        <f t="shared" ca="1" si="28"/>
        <v>0</v>
      </c>
      <c r="T18" s="90">
        <f t="shared" ca="1" si="28"/>
        <v>0</v>
      </c>
      <c r="U18" s="90">
        <f t="shared" ca="1" si="28"/>
        <v>0</v>
      </c>
      <c r="V18" s="90">
        <f t="shared" ca="1" si="28"/>
        <v>0</v>
      </c>
      <c r="W18" s="90">
        <f t="shared" ca="1" si="28"/>
        <v>0</v>
      </c>
      <c r="X18" s="90">
        <f t="shared" ca="1" si="28"/>
        <v>0</v>
      </c>
      <c r="Y18" s="90">
        <f t="shared" ca="1" si="28"/>
        <v>0</v>
      </c>
      <c r="Z18" s="90">
        <f t="shared" ca="1" si="28"/>
        <v>0</v>
      </c>
      <c r="AA18" s="90">
        <f t="shared" ca="1" si="28"/>
        <v>0</v>
      </c>
    </row>
    <row r="19" spans="1:27" ht="15" customHeight="1" x14ac:dyDescent="0.45">
      <c r="A19" s="82"/>
      <c r="B19" t="s">
        <v>208</v>
      </c>
      <c r="C19"/>
      <c r="D19" s="91"/>
      <c r="F19" s="90">
        <f>IFERROR(IF(F17&gt;0,MIN(F17,F15*F6)*-1,0),0)</f>
        <v>0</v>
      </c>
      <c r="G19" s="90">
        <f t="shared" ref="G19:K19" ca="1" si="29">IFERROR(IF(G17&gt;0,MIN(G17,G15*G6)*-1,0),0)</f>
        <v>0</v>
      </c>
      <c r="H19" s="90">
        <f t="shared" ca="1" si="29"/>
        <v>0</v>
      </c>
      <c r="I19" s="90">
        <f t="shared" ca="1" si="29"/>
        <v>-812.63283275350068</v>
      </c>
      <c r="J19" s="90">
        <f t="shared" ca="1" si="29"/>
        <v>0</v>
      </c>
      <c r="K19" s="90">
        <f t="shared" ca="1" si="29"/>
        <v>0</v>
      </c>
      <c r="L19" s="90">
        <f t="shared" ref="L19:AA19" ca="1" si="30">IFERROR(IF(L17&gt;0,MIN(L17,L15*L6)*-1,0),0)</f>
        <v>0</v>
      </c>
      <c r="M19" s="90">
        <f t="shared" ca="1" si="30"/>
        <v>0</v>
      </c>
      <c r="N19" s="90">
        <f t="shared" ca="1" si="30"/>
        <v>0</v>
      </c>
      <c r="O19" s="90">
        <f t="shared" ca="1" si="30"/>
        <v>0</v>
      </c>
      <c r="P19" s="90">
        <f t="shared" ca="1" si="30"/>
        <v>0</v>
      </c>
      <c r="Q19" s="90">
        <f t="shared" ca="1" si="30"/>
        <v>0</v>
      </c>
      <c r="R19" s="90">
        <f t="shared" ca="1" si="30"/>
        <v>0</v>
      </c>
      <c r="S19" s="90">
        <f t="shared" ca="1" si="30"/>
        <v>0</v>
      </c>
      <c r="T19" s="90">
        <f t="shared" ca="1" si="30"/>
        <v>0</v>
      </c>
      <c r="U19" s="90">
        <f t="shared" ca="1" si="30"/>
        <v>0</v>
      </c>
      <c r="V19" s="90">
        <f t="shared" ca="1" si="30"/>
        <v>0</v>
      </c>
      <c r="W19" s="90">
        <f t="shared" ca="1" si="30"/>
        <v>0</v>
      </c>
      <c r="X19" s="90">
        <f t="shared" ca="1" si="30"/>
        <v>0</v>
      </c>
      <c r="Y19" s="90">
        <f t="shared" ca="1" si="30"/>
        <v>0</v>
      </c>
      <c r="Z19" s="90">
        <f t="shared" ca="1" si="30"/>
        <v>0</v>
      </c>
      <c r="AA19" s="90">
        <f t="shared" ca="1" si="30"/>
        <v>0</v>
      </c>
    </row>
    <row r="20" spans="1:27" ht="15" customHeight="1" x14ac:dyDescent="0.45">
      <c r="A20" s="82"/>
      <c r="B20" t="s">
        <v>209</v>
      </c>
      <c r="C20"/>
      <c r="D20" s="91"/>
      <c r="E20" s="83">
        <v>0</v>
      </c>
      <c r="F20" s="90">
        <f ca="1">SUM(F17:F19)</f>
        <v>0</v>
      </c>
      <c r="G20" s="90">
        <f t="shared" ref="G20:K20" ca="1" si="31">SUM(G17:G19)</f>
        <v>0</v>
      </c>
      <c r="H20" s="90">
        <f t="shared" ca="1" si="31"/>
        <v>812.63283275350068</v>
      </c>
      <c r="I20" s="90">
        <f t="shared" ca="1" si="31"/>
        <v>0</v>
      </c>
      <c r="J20" s="90">
        <f t="shared" ca="1" si="31"/>
        <v>0</v>
      </c>
      <c r="K20" s="90">
        <f t="shared" ca="1" si="31"/>
        <v>0</v>
      </c>
      <c r="L20" s="90">
        <f t="shared" ref="L20" ca="1" si="32">SUM(L17:L19)</f>
        <v>0</v>
      </c>
      <c r="M20" s="90">
        <f t="shared" ref="M20" ca="1" si="33">SUM(M17:M19)</f>
        <v>0</v>
      </c>
      <c r="N20" s="90">
        <f t="shared" ref="N20" ca="1" si="34">SUM(N17:N19)</f>
        <v>0</v>
      </c>
      <c r="O20" s="90">
        <f t="shared" ref="O20" ca="1" si="35">SUM(O17:O19)</f>
        <v>0</v>
      </c>
      <c r="P20" s="90">
        <f t="shared" ref="P20" ca="1" si="36">SUM(P17:P19)</f>
        <v>0</v>
      </c>
      <c r="Q20" s="90">
        <f t="shared" ref="Q20" ca="1" si="37">SUM(Q17:Q19)</f>
        <v>0</v>
      </c>
      <c r="R20" s="90">
        <f t="shared" ref="R20" ca="1" si="38">SUM(R17:R19)</f>
        <v>0</v>
      </c>
      <c r="S20" s="90">
        <f t="shared" ref="S20" ca="1" si="39">SUM(S17:S19)</f>
        <v>0</v>
      </c>
      <c r="T20" s="90">
        <f t="shared" ref="T20" ca="1" si="40">SUM(T17:T19)</f>
        <v>0</v>
      </c>
      <c r="U20" s="90">
        <f t="shared" ref="U20" ca="1" si="41">SUM(U17:U19)</f>
        <v>0</v>
      </c>
      <c r="V20" s="90">
        <f t="shared" ref="V20" ca="1" si="42">SUM(V17:V19)</f>
        <v>0</v>
      </c>
      <c r="W20" s="90">
        <f t="shared" ref="W20" ca="1" si="43">SUM(W17:W19)</f>
        <v>0</v>
      </c>
      <c r="X20" s="90">
        <f t="shared" ref="X20" ca="1" si="44">SUM(X17:X19)</f>
        <v>0</v>
      </c>
      <c r="Y20" s="90">
        <f t="shared" ref="Y20" ca="1" si="45">SUM(Y17:Y19)</f>
        <v>0</v>
      </c>
      <c r="Z20" s="90">
        <f t="shared" ref="Z20" ca="1" si="46">SUM(Z17:Z19)</f>
        <v>0</v>
      </c>
      <c r="AA20" s="90">
        <f t="shared" ref="AA20" ca="1" si="47">SUM(AA17:AA19)</f>
        <v>0</v>
      </c>
    </row>
    <row r="21" spans="1:27" ht="15" customHeight="1" x14ac:dyDescent="0.45">
      <c r="A21" s="82"/>
      <c r="B21"/>
      <c r="C21"/>
      <c r="D21"/>
    </row>
    <row r="22" spans="1:27" ht="15" customHeight="1" x14ac:dyDescent="0.45">
      <c r="A22" s="82" t="s">
        <v>139</v>
      </c>
      <c r="B22"/>
      <c r="C22"/>
      <c r="D22"/>
    </row>
    <row r="23" spans="1:27" ht="15" customHeight="1" x14ac:dyDescent="0.45">
      <c r="A23" s="82"/>
      <c r="B23" t="s">
        <v>216</v>
      </c>
      <c r="C23"/>
      <c r="D23"/>
      <c r="F23">
        <f ca="1">F10</f>
        <v>0</v>
      </c>
      <c r="G23">
        <f t="shared" ref="G23:K23" ca="1" si="48">G10</f>
        <v>28.664487484521306</v>
      </c>
      <c r="H23">
        <f t="shared" ca="1" si="48"/>
        <v>-1184.7616720242822</v>
      </c>
      <c r="I23">
        <f t="shared" ca="1" si="48"/>
        <v>4395.6400504742869</v>
      </c>
      <c r="J23">
        <f t="shared" ca="1" si="48"/>
        <v>12810.397243374051</v>
      </c>
      <c r="K23">
        <f t="shared" ca="1" si="48"/>
        <v>13481.558556164813</v>
      </c>
      <c r="L23">
        <f t="shared" ref="L23:AA23" ca="1" si="49">L10</f>
        <v>14179.708228163563</v>
      </c>
      <c r="M23">
        <f t="shared" ca="1" si="49"/>
        <v>14905.925793738623</v>
      </c>
      <c r="N23">
        <f t="shared" ca="1" si="49"/>
        <v>15661.333968633026</v>
      </c>
      <c r="O23">
        <f t="shared" ca="1" si="49"/>
        <v>16447.100377219584</v>
      </c>
      <c r="P23">
        <f t="shared" ca="1" si="49"/>
        <v>17264.439348845928</v>
      </c>
      <c r="Q23">
        <f t="shared" ca="1" si="49"/>
        <v>18114.613786033693</v>
      </c>
      <c r="R23">
        <f t="shared" ca="1" si="49"/>
        <v>18998.93710740532</v>
      </c>
      <c r="S23">
        <f t="shared" ca="1" si="49"/>
        <v>19918.775268328151</v>
      </c>
      <c r="T23">
        <f t="shared" ca="1" si="49"/>
        <v>20875.548862384254</v>
      </c>
      <c r="U23">
        <f t="shared" ca="1" si="49"/>
        <v>21870.735306898958</v>
      </c>
      <c r="V23">
        <f t="shared" ca="1" si="49"/>
        <v>22905.871115890597</v>
      </c>
      <c r="W23">
        <f t="shared" ca="1" si="49"/>
        <v>23982.554263938269</v>
      </c>
      <c r="X23">
        <f t="shared" ca="1" si="49"/>
        <v>25074.508763759721</v>
      </c>
      <c r="Y23">
        <f t="shared" ca="1" si="49"/>
        <v>20516.686768236523</v>
      </c>
      <c r="Z23">
        <f t="shared" ca="1" si="49"/>
        <v>21730.416259418802</v>
      </c>
      <c r="AA23">
        <f t="shared" ca="1" si="49"/>
        <v>22982.925012226086</v>
      </c>
    </row>
    <row r="24" spans="1:27" ht="15" customHeight="1" x14ac:dyDescent="0.45">
      <c r="A24" s="96"/>
      <c r="B24" t="s">
        <v>212</v>
      </c>
      <c r="C24"/>
      <c r="D24"/>
      <c r="F24" s="90">
        <f ca="1">SUM(F18:F19)</f>
        <v>0</v>
      </c>
      <c r="G24" s="90">
        <f t="shared" ref="G24:K24" ca="1" si="50">SUM(G18:G19)</f>
        <v>0</v>
      </c>
      <c r="H24" s="90">
        <f t="shared" ca="1" si="50"/>
        <v>812.63283275350068</v>
      </c>
      <c r="I24" s="90">
        <f t="shared" ca="1" si="50"/>
        <v>-812.63283275350068</v>
      </c>
      <c r="J24" s="90">
        <f t="shared" ca="1" si="50"/>
        <v>0</v>
      </c>
      <c r="K24" s="90">
        <f t="shared" ca="1" si="50"/>
        <v>0</v>
      </c>
      <c r="L24" s="90">
        <f t="shared" ref="L24:AA24" ca="1" si="51">SUM(L18:L19)</f>
        <v>0</v>
      </c>
      <c r="M24" s="90">
        <f t="shared" ca="1" si="51"/>
        <v>0</v>
      </c>
      <c r="N24" s="90">
        <f t="shared" ca="1" si="51"/>
        <v>0</v>
      </c>
      <c r="O24" s="90">
        <f t="shared" ca="1" si="51"/>
        <v>0</v>
      </c>
      <c r="P24" s="90">
        <f t="shared" ca="1" si="51"/>
        <v>0</v>
      </c>
      <c r="Q24" s="90">
        <f t="shared" ca="1" si="51"/>
        <v>0</v>
      </c>
      <c r="R24" s="90">
        <f t="shared" ca="1" si="51"/>
        <v>0</v>
      </c>
      <c r="S24" s="90">
        <f t="shared" ca="1" si="51"/>
        <v>0</v>
      </c>
      <c r="T24" s="90">
        <f t="shared" ca="1" si="51"/>
        <v>0</v>
      </c>
      <c r="U24" s="90">
        <f t="shared" ca="1" si="51"/>
        <v>0</v>
      </c>
      <c r="V24" s="90">
        <f t="shared" ca="1" si="51"/>
        <v>0</v>
      </c>
      <c r="W24" s="90">
        <f t="shared" ca="1" si="51"/>
        <v>0</v>
      </c>
      <c r="X24" s="90">
        <f t="shared" ca="1" si="51"/>
        <v>0</v>
      </c>
      <c r="Y24" s="90">
        <f t="shared" ca="1" si="51"/>
        <v>0</v>
      </c>
      <c r="Z24" s="90">
        <f t="shared" ca="1" si="51"/>
        <v>0</v>
      </c>
      <c r="AA24" s="90">
        <f t="shared" ca="1" si="51"/>
        <v>0</v>
      </c>
    </row>
    <row r="25" spans="1:27" ht="15" customHeight="1" x14ac:dyDescent="0.45">
      <c r="A25" s="82"/>
      <c r="B25" t="s">
        <v>217</v>
      </c>
      <c r="C25"/>
      <c r="D25"/>
      <c r="F25">
        <f ca="1">SUM(F23:F24)</f>
        <v>0</v>
      </c>
      <c r="G25">
        <f t="shared" ref="G25:K25" ca="1" si="52">SUM(G23:G24)</f>
        <v>28.664487484521306</v>
      </c>
      <c r="H25">
        <f t="shared" ca="1" si="52"/>
        <v>-372.12883927078155</v>
      </c>
      <c r="I25">
        <f t="shared" ca="1" si="52"/>
        <v>3583.0072177207862</v>
      </c>
      <c r="J25">
        <f t="shared" ca="1" si="52"/>
        <v>12810.397243374051</v>
      </c>
      <c r="K25">
        <f t="shared" ca="1" si="52"/>
        <v>13481.558556164813</v>
      </c>
      <c r="L25">
        <f t="shared" ref="L25:AA25" ca="1" si="53">SUM(L23:L24)</f>
        <v>14179.708228163563</v>
      </c>
      <c r="M25">
        <f t="shared" ca="1" si="53"/>
        <v>14905.925793738623</v>
      </c>
      <c r="N25">
        <f t="shared" ca="1" si="53"/>
        <v>15661.333968633026</v>
      </c>
      <c r="O25">
        <f t="shared" ca="1" si="53"/>
        <v>16447.100377219584</v>
      </c>
      <c r="P25">
        <f t="shared" ca="1" si="53"/>
        <v>17264.439348845928</v>
      </c>
      <c r="Q25">
        <f t="shared" ca="1" si="53"/>
        <v>18114.613786033693</v>
      </c>
      <c r="R25">
        <f t="shared" ca="1" si="53"/>
        <v>18998.93710740532</v>
      </c>
      <c r="S25">
        <f t="shared" ca="1" si="53"/>
        <v>19918.775268328151</v>
      </c>
      <c r="T25">
        <f t="shared" ca="1" si="53"/>
        <v>20875.548862384254</v>
      </c>
      <c r="U25">
        <f t="shared" ca="1" si="53"/>
        <v>21870.735306898958</v>
      </c>
      <c r="V25">
        <f t="shared" ca="1" si="53"/>
        <v>22905.871115890597</v>
      </c>
      <c r="W25">
        <f t="shared" ca="1" si="53"/>
        <v>23982.554263938269</v>
      </c>
      <c r="X25">
        <f t="shared" ca="1" si="53"/>
        <v>25074.508763759721</v>
      </c>
      <c r="Y25">
        <f t="shared" ca="1" si="53"/>
        <v>20516.686768236523</v>
      </c>
      <c r="Z25">
        <f t="shared" ca="1" si="53"/>
        <v>21730.416259418802</v>
      </c>
      <c r="AA25">
        <f t="shared" ca="1" si="53"/>
        <v>22982.925012226086</v>
      </c>
    </row>
    <row r="26" spans="1:27" ht="15" customHeight="1" x14ac:dyDescent="0.45">
      <c r="A26" s="82"/>
      <c r="B26"/>
      <c r="C26"/>
      <c r="D26"/>
    </row>
    <row r="27" spans="1:27" ht="15" customHeight="1" x14ac:dyDescent="0.45">
      <c r="A27" s="96"/>
      <c r="B27" t="s">
        <v>214</v>
      </c>
      <c r="C27"/>
      <c r="D27"/>
      <c r="F27">
        <f>E30</f>
        <v>0</v>
      </c>
      <c r="G27">
        <f t="shared" ref="G27:K27" ca="1" si="54">F30</f>
        <v>0</v>
      </c>
      <c r="H27">
        <f t="shared" ca="1" si="54"/>
        <v>0</v>
      </c>
      <c r="I27">
        <f t="shared" ca="1" si="54"/>
        <v>372.12883927078155</v>
      </c>
      <c r="J27">
        <f t="shared" ca="1" si="54"/>
        <v>0</v>
      </c>
      <c r="K27">
        <f t="shared" ca="1" si="54"/>
        <v>0</v>
      </c>
      <c r="L27">
        <f t="shared" ref="L27" ca="1" si="55">K30</f>
        <v>0</v>
      </c>
      <c r="M27">
        <f t="shared" ref="M27" ca="1" si="56">L30</f>
        <v>0</v>
      </c>
      <c r="N27">
        <f t="shared" ref="N27" ca="1" si="57">M30</f>
        <v>0</v>
      </c>
      <c r="O27">
        <f t="shared" ref="O27" ca="1" si="58">N30</f>
        <v>0</v>
      </c>
      <c r="P27">
        <f t="shared" ref="P27" ca="1" si="59">O30</f>
        <v>0</v>
      </c>
      <c r="Q27">
        <f t="shared" ref="Q27" ca="1" si="60">P30</f>
        <v>0</v>
      </c>
      <c r="R27">
        <f t="shared" ref="R27" ca="1" si="61">Q30</f>
        <v>0</v>
      </c>
      <c r="S27">
        <f t="shared" ref="S27" ca="1" si="62">R30</f>
        <v>0</v>
      </c>
      <c r="T27">
        <f t="shared" ref="T27" ca="1" si="63">S30</f>
        <v>0</v>
      </c>
      <c r="U27">
        <f t="shared" ref="U27" ca="1" si="64">T30</f>
        <v>0</v>
      </c>
      <c r="V27">
        <f t="shared" ref="V27" ca="1" si="65">U30</f>
        <v>0</v>
      </c>
      <c r="W27">
        <f t="shared" ref="W27" ca="1" si="66">V30</f>
        <v>0</v>
      </c>
      <c r="X27">
        <f t="shared" ref="X27" ca="1" si="67">W30</f>
        <v>0</v>
      </c>
      <c r="Y27">
        <f t="shared" ref="Y27" ca="1" si="68">X30</f>
        <v>0</v>
      </c>
      <c r="Z27">
        <f t="shared" ref="Z27" ca="1" si="69">Y30</f>
        <v>0</v>
      </c>
      <c r="AA27">
        <f t="shared" ref="AA27" ca="1" si="70">Z30</f>
        <v>0</v>
      </c>
    </row>
    <row r="28" spans="1:27" ht="15" customHeight="1" x14ac:dyDescent="0.45">
      <c r="A28" s="96"/>
      <c r="B28" t="s">
        <v>210</v>
      </c>
      <c r="C28"/>
      <c r="D28"/>
      <c r="F28">
        <f ca="1">MIN(F25,0)*-1</f>
        <v>0</v>
      </c>
      <c r="G28">
        <f t="shared" ref="G28:K28" ca="1" si="71">MIN(G25,0)*-1</f>
        <v>0</v>
      </c>
      <c r="H28">
        <f t="shared" ca="1" si="71"/>
        <v>372.12883927078155</v>
      </c>
      <c r="I28">
        <f t="shared" ca="1" si="71"/>
        <v>0</v>
      </c>
      <c r="J28">
        <f t="shared" ca="1" si="71"/>
        <v>0</v>
      </c>
      <c r="K28">
        <f t="shared" ca="1" si="71"/>
        <v>0</v>
      </c>
      <c r="L28">
        <f t="shared" ref="L28:AA28" ca="1" si="72">MIN(L25,0)*-1</f>
        <v>0</v>
      </c>
      <c r="M28">
        <f t="shared" ca="1" si="72"/>
        <v>0</v>
      </c>
      <c r="N28">
        <f t="shared" ca="1" si="72"/>
        <v>0</v>
      </c>
      <c r="O28">
        <f t="shared" ca="1" si="72"/>
        <v>0</v>
      </c>
      <c r="P28">
        <f t="shared" ca="1" si="72"/>
        <v>0</v>
      </c>
      <c r="Q28">
        <f t="shared" ca="1" si="72"/>
        <v>0</v>
      </c>
      <c r="R28">
        <f t="shared" ca="1" si="72"/>
        <v>0</v>
      </c>
      <c r="S28">
        <f t="shared" ca="1" si="72"/>
        <v>0</v>
      </c>
      <c r="T28">
        <f t="shared" ca="1" si="72"/>
        <v>0</v>
      </c>
      <c r="U28">
        <f t="shared" ca="1" si="72"/>
        <v>0</v>
      </c>
      <c r="V28">
        <f t="shared" ca="1" si="72"/>
        <v>0</v>
      </c>
      <c r="W28">
        <f t="shared" ca="1" si="72"/>
        <v>0</v>
      </c>
      <c r="X28">
        <f t="shared" ca="1" si="72"/>
        <v>0</v>
      </c>
      <c r="Y28">
        <f t="shared" ca="1" si="72"/>
        <v>0</v>
      </c>
      <c r="Z28">
        <f t="shared" ca="1" si="72"/>
        <v>0</v>
      </c>
      <c r="AA28">
        <f t="shared" ca="1" si="72"/>
        <v>0</v>
      </c>
    </row>
    <row r="29" spans="1:27" ht="15" customHeight="1" x14ac:dyDescent="0.45">
      <c r="A29" s="96"/>
      <c r="B29" t="s">
        <v>211</v>
      </c>
      <c r="C29"/>
      <c r="D29"/>
      <c r="F29">
        <f ca="1">IF(F25&gt;0,MIN(F25,F27)*-1,0)</f>
        <v>0</v>
      </c>
      <c r="G29">
        <f t="shared" ref="G29:K29" ca="1" si="73">IF(G25&gt;0,MIN(G25,G27)*-1,0)</f>
        <v>0</v>
      </c>
      <c r="H29">
        <f t="shared" ca="1" si="73"/>
        <v>0</v>
      </c>
      <c r="I29">
        <f t="shared" ca="1" si="73"/>
        <v>-372.12883927078155</v>
      </c>
      <c r="J29">
        <f t="shared" ca="1" si="73"/>
        <v>0</v>
      </c>
      <c r="K29">
        <f t="shared" ca="1" si="73"/>
        <v>0</v>
      </c>
      <c r="L29">
        <f t="shared" ref="L29:AA29" ca="1" si="74">IF(L25&gt;0,MIN(L25,L27)*-1,0)</f>
        <v>0</v>
      </c>
      <c r="M29">
        <f t="shared" ca="1" si="74"/>
        <v>0</v>
      </c>
      <c r="N29">
        <f t="shared" ca="1" si="74"/>
        <v>0</v>
      </c>
      <c r="O29">
        <f t="shared" ca="1" si="74"/>
        <v>0</v>
      </c>
      <c r="P29">
        <f t="shared" ca="1" si="74"/>
        <v>0</v>
      </c>
      <c r="Q29">
        <f t="shared" ca="1" si="74"/>
        <v>0</v>
      </c>
      <c r="R29">
        <f t="shared" ca="1" si="74"/>
        <v>0</v>
      </c>
      <c r="S29">
        <f t="shared" ca="1" si="74"/>
        <v>0</v>
      </c>
      <c r="T29">
        <f t="shared" ca="1" si="74"/>
        <v>0</v>
      </c>
      <c r="U29">
        <f t="shared" ca="1" si="74"/>
        <v>0</v>
      </c>
      <c r="V29">
        <f t="shared" ca="1" si="74"/>
        <v>0</v>
      </c>
      <c r="W29">
        <f t="shared" ca="1" si="74"/>
        <v>0</v>
      </c>
      <c r="X29">
        <f t="shared" ca="1" si="74"/>
        <v>0</v>
      </c>
      <c r="Y29">
        <f t="shared" ca="1" si="74"/>
        <v>0</v>
      </c>
      <c r="Z29">
        <f t="shared" ca="1" si="74"/>
        <v>0</v>
      </c>
      <c r="AA29">
        <f t="shared" ca="1" si="74"/>
        <v>0</v>
      </c>
    </row>
    <row r="30" spans="1:27" ht="15" customHeight="1" x14ac:dyDescent="0.45">
      <c r="A30" s="96"/>
      <c r="B30" t="s">
        <v>215</v>
      </c>
      <c r="C30"/>
      <c r="D30"/>
      <c r="E30" s="83">
        <v>0</v>
      </c>
      <c r="F30">
        <f ca="1">SUM(F27:F29)</f>
        <v>0</v>
      </c>
      <c r="G30">
        <f t="shared" ref="G30:K30" ca="1" si="75">SUM(G27:G29)</f>
        <v>0</v>
      </c>
      <c r="H30">
        <f t="shared" ca="1" si="75"/>
        <v>372.12883927078155</v>
      </c>
      <c r="I30">
        <f t="shared" ca="1" si="75"/>
        <v>0</v>
      </c>
      <c r="J30">
        <f t="shared" ca="1" si="75"/>
        <v>0</v>
      </c>
      <c r="K30">
        <f t="shared" ca="1" si="75"/>
        <v>0</v>
      </c>
      <c r="L30">
        <f t="shared" ref="L30:AA30" ca="1" si="76">SUM(L27:L29)</f>
        <v>0</v>
      </c>
      <c r="M30">
        <f t="shared" ca="1" si="76"/>
        <v>0</v>
      </c>
      <c r="N30">
        <f t="shared" ca="1" si="76"/>
        <v>0</v>
      </c>
      <c r="O30">
        <f t="shared" ca="1" si="76"/>
        <v>0</v>
      </c>
      <c r="P30">
        <f t="shared" ca="1" si="76"/>
        <v>0</v>
      </c>
      <c r="Q30">
        <f t="shared" ca="1" si="76"/>
        <v>0</v>
      </c>
      <c r="R30">
        <f t="shared" ca="1" si="76"/>
        <v>0</v>
      </c>
      <c r="S30">
        <f t="shared" ca="1" si="76"/>
        <v>0</v>
      </c>
      <c r="T30">
        <f t="shared" ca="1" si="76"/>
        <v>0</v>
      </c>
      <c r="U30">
        <f t="shared" ca="1" si="76"/>
        <v>0</v>
      </c>
      <c r="V30">
        <f t="shared" ca="1" si="76"/>
        <v>0</v>
      </c>
      <c r="W30">
        <f t="shared" ca="1" si="76"/>
        <v>0</v>
      </c>
      <c r="X30">
        <f t="shared" ca="1" si="76"/>
        <v>0</v>
      </c>
      <c r="Y30">
        <f t="shared" ca="1" si="76"/>
        <v>0</v>
      </c>
      <c r="Z30">
        <f t="shared" ca="1" si="76"/>
        <v>0</v>
      </c>
      <c r="AA30">
        <f t="shared" ca="1" si="76"/>
        <v>0</v>
      </c>
    </row>
    <row r="31" spans="1:27" ht="15" customHeight="1" x14ac:dyDescent="0.45">
      <c r="A31" s="96"/>
      <c r="B31"/>
      <c r="C31"/>
      <c r="D31"/>
    </row>
    <row r="32" spans="1:27" ht="15" customHeight="1" x14ac:dyDescent="0.45">
      <c r="A32" s="96" t="s">
        <v>141</v>
      </c>
      <c r="B32"/>
      <c r="C32"/>
      <c r="D32"/>
    </row>
    <row r="33" spans="1:27" ht="15" customHeight="1" x14ac:dyDescent="0.45">
      <c r="A33" s="96"/>
      <c r="B33" t="s">
        <v>135</v>
      </c>
      <c r="C33"/>
      <c r="D33"/>
      <c r="F33">
        <f ca="1">F10</f>
        <v>0</v>
      </c>
      <c r="G33">
        <f t="shared" ref="G33:K33" ca="1" si="77">G10</f>
        <v>28.664487484521306</v>
      </c>
      <c r="H33">
        <f t="shared" ca="1" si="77"/>
        <v>-1184.7616720242822</v>
      </c>
      <c r="I33">
        <f t="shared" ca="1" si="77"/>
        <v>4395.6400504742869</v>
      </c>
      <c r="J33">
        <f t="shared" ca="1" si="77"/>
        <v>12810.397243374051</v>
      </c>
      <c r="K33">
        <f t="shared" ca="1" si="77"/>
        <v>13481.558556164813</v>
      </c>
      <c r="L33">
        <f t="shared" ref="L33:AA33" ca="1" si="78">L10</f>
        <v>14179.708228163563</v>
      </c>
      <c r="M33">
        <f t="shared" ca="1" si="78"/>
        <v>14905.925793738623</v>
      </c>
      <c r="N33">
        <f t="shared" ca="1" si="78"/>
        <v>15661.333968633026</v>
      </c>
      <c r="O33">
        <f t="shared" ca="1" si="78"/>
        <v>16447.100377219584</v>
      </c>
      <c r="P33">
        <f t="shared" ca="1" si="78"/>
        <v>17264.439348845928</v>
      </c>
      <c r="Q33">
        <f t="shared" ca="1" si="78"/>
        <v>18114.613786033693</v>
      </c>
      <c r="R33">
        <f t="shared" ca="1" si="78"/>
        <v>18998.93710740532</v>
      </c>
      <c r="S33">
        <f t="shared" ca="1" si="78"/>
        <v>19918.775268328151</v>
      </c>
      <c r="T33">
        <f t="shared" ca="1" si="78"/>
        <v>20875.548862384254</v>
      </c>
      <c r="U33">
        <f t="shared" ca="1" si="78"/>
        <v>21870.735306898958</v>
      </c>
      <c r="V33">
        <f t="shared" ca="1" si="78"/>
        <v>22905.871115890597</v>
      </c>
      <c r="W33">
        <f t="shared" ca="1" si="78"/>
        <v>23982.554263938269</v>
      </c>
      <c r="X33">
        <f t="shared" ca="1" si="78"/>
        <v>25074.508763759721</v>
      </c>
      <c r="Y33">
        <f t="shared" ca="1" si="78"/>
        <v>20516.686768236523</v>
      </c>
      <c r="Z33">
        <f t="shared" ca="1" si="78"/>
        <v>21730.416259418802</v>
      </c>
      <c r="AA33">
        <f t="shared" ca="1" si="78"/>
        <v>22982.925012226086</v>
      </c>
    </row>
    <row r="34" spans="1:27" ht="15" customHeight="1" x14ac:dyDescent="0.45">
      <c r="A34" s="96"/>
      <c r="B34" t="s">
        <v>212</v>
      </c>
      <c r="C34"/>
      <c r="D34"/>
      <c r="F34" s="90">
        <f ca="1">SUM(F18:F19)</f>
        <v>0</v>
      </c>
      <c r="G34" s="90">
        <f t="shared" ref="G34:K34" ca="1" si="79">SUM(G18:G19)</f>
        <v>0</v>
      </c>
      <c r="H34" s="90">
        <f t="shared" ca="1" si="79"/>
        <v>812.63283275350068</v>
      </c>
      <c r="I34" s="90">
        <f t="shared" ca="1" si="79"/>
        <v>-812.63283275350068</v>
      </c>
      <c r="J34" s="90">
        <f t="shared" ca="1" si="79"/>
        <v>0</v>
      </c>
      <c r="K34" s="90">
        <f t="shared" ca="1" si="79"/>
        <v>0</v>
      </c>
      <c r="L34" s="90">
        <f t="shared" ref="L34:AA34" ca="1" si="80">SUM(L18:L19)</f>
        <v>0</v>
      </c>
      <c r="M34" s="90">
        <f t="shared" ca="1" si="80"/>
        <v>0</v>
      </c>
      <c r="N34" s="90">
        <f t="shared" ca="1" si="80"/>
        <v>0</v>
      </c>
      <c r="O34" s="90">
        <f t="shared" ca="1" si="80"/>
        <v>0</v>
      </c>
      <c r="P34" s="90">
        <f t="shared" ca="1" si="80"/>
        <v>0</v>
      </c>
      <c r="Q34" s="90">
        <f t="shared" ca="1" si="80"/>
        <v>0</v>
      </c>
      <c r="R34" s="90">
        <f t="shared" ca="1" si="80"/>
        <v>0</v>
      </c>
      <c r="S34" s="90">
        <f t="shared" ca="1" si="80"/>
        <v>0</v>
      </c>
      <c r="T34" s="90">
        <f t="shared" ca="1" si="80"/>
        <v>0</v>
      </c>
      <c r="U34" s="90">
        <f t="shared" ca="1" si="80"/>
        <v>0</v>
      </c>
      <c r="V34" s="90">
        <f t="shared" ca="1" si="80"/>
        <v>0</v>
      </c>
      <c r="W34" s="90">
        <f t="shared" ca="1" si="80"/>
        <v>0</v>
      </c>
      <c r="X34" s="90">
        <f t="shared" ca="1" si="80"/>
        <v>0</v>
      </c>
      <c r="Y34" s="90">
        <f t="shared" ca="1" si="80"/>
        <v>0</v>
      </c>
      <c r="Z34" s="90">
        <f t="shared" ca="1" si="80"/>
        <v>0</v>
      </c>
      <c r="AA34" s="90">
        <f t="shared" ca="1" si="80"/>
        <v>0</v>
      </c>
    </row>
    <row r="35" spans="1:27" ht="15" customHeight="1" x14ac:dyDescent="0.45">
      <c r="A35" s="96"/>
      <c r="B35" t="s">
        <v>293</v>
      </c>
      <c r="C35"/>
      <c r="D35"/>
      <c r="F35">
        <f ca="1">SUM(F28:F29)</f>
        <v>0</v>
      </c>
      <c r="G35">
        <f t="shared" ref="G35:K35" ca="1" si="81">SUM(G28:G29)</f>
        <v>0</v>
      </c>
      <c r="H35">
        <f t="shared" ca="1" si="81"/>
        <v>372.12883927078155</v>
      </c>
      <c r="I35">
        <f t="shared" ca="1" si="81"/>
        <v>-372.12883927078155</v>
      </c>
      <c r="J35">
        <f t="shared" ca="1" si="81"/>
        <v>0</v>
      </c>
      <c r="K35">
        <f t="shared" ca="1" si="81"/>
        <v>0</v>
      </c>
      <c r="L35">
        <f t="shared" ref="L35:AA35" ca="1" si="82">SUM(L28:L29)</f>
        <v>0</v>
      </c>
      <c r="M35">
        <f t="shared" ca="1" si="82"/>
        <v>0</v>
      </c>
      <c r="N35">
        <f t="shared" ca="1" si="82"/>
        <v>0</v>
      </c>
      <c r="O35">
        <f t="shared" ca="1" si="82"/>
        <v>0</v>
      </c>
      <c r="P35">
        <f t="shared" ca="1" si="82"/>
        <v>0</v>
      </c>
      <c r="Q35">
        <f t="shared" ca="1" si="82"/>
        <v>0</v>
      </c>
      <c r="R35">
        <f t="shared" ca="1" si="82"/>
        <v>0</v>
      </c>
      <c r="S35">
        <f t="shared" ca="1" si="82"/>
        <v>0</v>
      </c>
      <c r="T35">
        <f t="shared" ca="1" si="82"/>
        <v>0</v>
      </c>
      <c r="U35">
        <f t="shared" ca="1" si="82"/>
        <v>0</v>
      </c>
      <c r="V35">
        <f t="shared" ca="1" si="82"/>
        <v>0</v>
      </c>
      <c r="W35">
        <f t="shared" ca="1" si="82"/>
        <v>0</v>
      </c>
      <c r="X35">
        <f t="shared" ca="1" si="82"/>
        <v>0</v>
      </c>
      <c r="Y35">
        <f t="shared" ca="1" si="82"/>
        <v>0</v>
      </c>
      <c r="Z35">
        <f t="shared" ca="1" si="82"/>
        <v>0</v>
      </c>
      <c r="AA35">
        <f t="shared" ca="1" si="82"/>
        <v>0</v>
      </c>
    </row>
    <row r="36" spans="1:27" ht="15" customHeight="1" x14ac:dyDescent="0.45">
      <c r="A36" s="96"/>
      <c r="B36" t="s">
        <v>213</v>
      </c>
      <c r="C36"/>
      <c r="D36"/>
      <c r="F36">
        <f ca="1">SUM(F33:F35)</f>
        <v>0</v>
      </c>
      <c r="G36">
        <f t="shared" ref="G36:K36" ca="1" si="83">SUM(G33:G35)</f>
        <v>28.664487484521306</v>
      </c>
      <c r="H36">
        <f t="shared" ca="1" si="83"/>
        <v>0</v>
      </c>
      <c r="I36">
        <f t="shared" ca="1" si="83"/>
        <v>3210.8783784500047</v>
      </c>
      <c r="J36">
        <f t="shared" ca="1" si="83"/>
        <v>12810.397243374051</v>
      </c>
      <c r="K36">
        <f t="shared" ca="1" si="83"/>
        <v>13481.558556164813</v>
      </c>
      <c r="L36">
        <f t="shared" ref="L36:AA36" ca="1" si="84">SUM(L33:L35)</f>
        <v>14179.708228163563</v>
      </c>
      <c r="M36">
        <f t="shared" ca="1" si="84"/>
        <v>14905.925793738623</v>
      </c>
      <c r="N36">
        <f t="shared" ca="1" si="84"/>
        <v>15661.333968633026</v>
      </c>
      <c r="O36">
        <f t="shared" ca="1" si="84"/>
        <v>16447.100377219584</v>
      </c>
      <c r="P36">
        <f t="shared" ca="1" si="84"/>
        <v>17264.439348845928</v>
      </c>
      <c r="Q36">
        <f t="shared" ca="1" si="84"/>
        <v>18114.613786033693</v>
      </c>
      <c r="R36">
        <f t="shared" ca="1" si="84"/>
        <v>18998.93710740532</v>
      </c>
      <c r="S36">
        <f t="shared" ca="1" si="84"/>
        <v>19918.775268328151</v>
      </c>
      <c r="T36">
        <f t="shared" ca="1" si="84"/>
        <v>20875.548862384254</v>
      </c>
      <c r="U36">
        <f t="shared" ca="1" si="84"/>
        <v>21870.735306898958</v>
      </c>
      <c r="V36">
        <f t="shared" ca="1" si="84"/>
        <v>22905.871115890597</v>
      </c>
      <c r="W36">
        <f t="shared" ca="1" si="84"/>
        <v>23982.554263938269</v>
      </c>
      <c r="X36">
        <f t="shared" ca="1" si="84"/>
        <v>25074.508763759721</v>
      </c>
      <c r="Y36">
        <f t="shared" ca="1" si="84"/>
        <v>20516.686768236523</v>
      </c>
      <c r="Z36">
        <f t="shared" ca="1" si="84"/>
        <v>21730.416259418802</v>
      </c>
      <c r="AA36">
        <f t="shared" ca="1" si="84"/>
        <v>22982.925012226086</v>
      </c>
    </row>
    <row r="37" spans="1:27" ht="15" customHeight="1" x14ac:dyDescent="0.45">
      <c r="A37" s="96"/>
      <c r="B37" t="s">
        <v>231</v>
      </c>
      <c r="C37" t="s">
        <v>41</v>
      </c>
      <c r="D37" s="91">
        <f>'Assumptions and Outputs'!D56</f>
        <v>0.25</v>
      </c>
      <c r="F37">
        <f ca="1">$D$37*F36</f>
        <v>0</v>
      </c>
      <c r="G37">
        <f t="shared" ref="G37:K37" ca="1" si="85">$D$37*G36</f>
        <v>7.1661218711303265</v>
      </c>
      <c r="H37">
        <f t="shared" ca="1" si="85"/>
        <v>0</v>
      </c>
      <c r="I37">
        <f t="shared" ca="1" si="85"/>
        <v>802.71959461250117</v>
      </c>
      <c r="J37">
        <f t="shared" ca="1" si="85"/>
        <v>3202.5993108435127</v>
      </c>
      <c r="K37">
        <f t="shared" ca="1" si="85"/>
        <v>3370.3896390412033</v>
      </c>
      <c r="L37">
        <f t="shared" ref="L37:AA37" ca="1" si="86">$D$37*L36</f>
        <v>3544.9270570408908</v>
      </c>
      <c r="M37">
        <f t="shared" ca="1" si="86"/>
        <v>3726.4814484346557</v>
      </c>
      <c r="N37">
        <f t="shared" ca="1" si="86"/>
        <v>3915.3334921582564</v>
      </c>
      <c r="O37">
        <f t="shared" ca="1" si="86"/>
        <v>4111.7750943048959</v>
      </c>
      <c r="P37">
        <f t="shared" ca="1" si="86"/>
        <v>4316.109837211482</v>
      </c>
      <c r="Q37">
        <f t="shared" ca="1" si="86"/>
        <v>4528.6534465084233</v>
      </c>
      <c r="R37">
        <f t="shared" ca="1" si="86"/>
        <v>4749.7342768513299</v>
      </c>
      <c r="S37">
        <f t="shared" ca="1" si="86"/>
        <v>4979.6938170820376</v>
      </c>
      <c r="T37">
        <f t="shared" ca="1" si="86"/>
        <v>5218.8872155960635</v>
      </c>
      <c r="U37">
        <f t="shared" ca="1" si="86"/>
        <v>5467.6838267247394</v>
      </c>
      <c r="V37">
        <f t="shared" ca="1" si="86"/>
        <v>5726.4677789726493</v>
      </c>
      <c r="W37">
        <f t="shared" ca="1" si="86"/>
        <v>5995.6385659845673</v>
      </c>
      <c r="X37">
        <f t="shared" ca="1" si="86"/>
        <v>6268.6271909399302</v>
      </c>
      <c r="Y37">
        <f t="shared" ca="1" si="86"/>
        <v>5129.1716920591307</v>
      </c>
      <c r="Z37">
        <f t="shared" ca="1" si="86"/>
        <v>5432.6040648547005</v>
      </c>
      <c r="AA37">
        <f t="shared" ca="1" si="86"/>
        <v>5745.7312530565214</v>
      </c>
    </row>
    <row r="38" spans="1:27" ht="15" customHeight="1" x14ac:dyDescent="0.45">
      <c r="A38" s="82"/>
      <c r="B38"/>
      <c r="C38"/>
      <c r="D38"/>
    </row>
    <row r="39" spans="1:27" ht="15" customHeight="1" x14ac:dyDescent="0.45">
      <c r="A39" s="82" t="s">
        <v>140</v>
      </c>
      <c r="B39"/>
      <c r="C39"/>
      <c r="D39"/>
    </row>
    <row r="40" spans="1:27" ht="15" customHeight="1" x14ac:dyDescent="0.45">
      <c r="A40" s="82"/>
      <c r="B40" t="s">
        <v>135</v>
      </c>
      <c r="C40"/>
      <c r="D40"/>
      <c r="F40">
        <f ca="1">F10</f>
        <v>0</v>
      </c>
      <c r="G40">
        <f t="shared" ref="G40:K40" ca="1" si="87">G10</f>
        <v>28.664487484521306</v>
      </c>
      <c r="H40">
        <f t="shared" ca="1" si="87"/>
        <v>-1184.7616720242822</v>
      </c>
      <c r="I40">
        <f t="shared" ca="1" si="87"/>
        <v>4395.6400504742869</v>
      </c>
      <c r="J40">
        <f t="shared" ca="1" si="87"/>
        <v>12810.397243374051</v>
      </c>
      <c r="K40">
        <f t="shared" ca="1" si="87"/>
        <v>13481.558556164813</v>
      </c>
      <c r="L40">
        <f t="shared" ref="L40:AA40" ca="1" si="88">L10</f>
        <v>14179.708228163563</v>
      </c>
      <c r="M40">
        <f t="shared" ca="1" si="88"/>
        <v>14905.925793738623</v>
      </c>
      <c r="N40">
        <f t="shared" ca="1" si="88"/>
        <v>15661.333968633026</v>
      </c>
      <c r="O40">
        <f t="shared" ca="1" si="88"/>
        <v>16447.100377219584</v>
      </c>
      <c r="P40">
        <f t="shared" ca="1" si="88"/>
        <v>17264.439348845928</v>
      </c>
      <c r="Q40">
        <f t="shared" ca="1" si="88"/>
        <v>18114.613786033693</v>
      </c>
      <c r="R40">
        <f t="shared" ca="1" si="88"/>
        <v>18998.93710740532</v>
      </c>
      <c r="S40">
        <f t="shared" ca="1" si="88"/>
        <v>19918.775268328151</v>
      </c>
      <c r="T40">
        <f t="shared" ca="1" si="88"/>
        <v>20875.548862384254</v>
      </c>
      <c r="U40">
        <f t="shared" ca="1" si="88"/>
        <v>21870.735306898958</v>
      </c>
      <c r="V40">
        <f t="shared" ca="1" si="88"/>
        <v>22905.871115890597</v>
      </c>
      <c r="W40">
        <f t="shared" ca="1" si="88"/>
        <v>23982.554263938269</v>
      </c>
      <c r="X40">
        <f t="shared" ca="1" si="88"/>
        <v>25074.508763759721</v>
      </c>
      <c r="Y40">
        <f t="shared" ca="1" si="88"/>
        <v>20516.686768236523</v>
      </c>
      <c r="Z40">
        <f t="shared" ca="1" si="88"/>
        <v>21730.416259418802</v>
      </c>
      <c r="AA40">
        <f t="shared" ca="1" si="88"/>
        <v>22982.925012226086</v>
      </c>
    </row>
    <row r="41" spans="1:27" ht="15" customHeight="1" x14ac:dyDescent="0.45">
      <c r="A41" s="82"/>
      <c r="B41" t="s">
        <v>231</v>
      </c>
      <c r="C41"/>
      <c r="D41"/>
      <c r="F41" s="90">
        <f ca="1">F37*-1</f>
        <v>0</v>
      </c>
      <c r="G41" s="90">
        <f t="shared" ref="G41:K41" ca="1" si="89">G37*-1</f>
        <v>-7.1661218711303265</v>
      </c>
      <c r="H41" s="90">
        <f t="shared" ca="1" si="89"/>
        <v>0</v>
      </c>
      <c r="I41" s="90">
        <f t="shared" ca="1" si="89"/>
        <v>-802.71959461250117</v>
      </c>
      <c r="J41" s="90">
        <f t="shared" ca="1" si="89"/>
        <v>-3202.5993108435127</v>
      </c>
      <c r="K41" s="90">
        <f t="shared" ca="1" si="89"/>
        <v>-3370.3896390412033</v>
      </c>
      <c r="L41" s="90">
        <f t="shared" ref="L41:AA41" ca="1" si="90">L37*-1</f>
        <v>-3544.9270570408908</v>
      </c>
      <c r="M41" s="90">
        <f t="shared" ca="1" si="90"/>
        <v>-3726.4814484346557</v>
      </c>
      <c r="N41" s="90">
        <f t="shared" ca="1" si="90"/>
        <v>-3915.3334921582564</v>
      </c>
      <c r="O41" s="90">
        <f t="shared" ca="1" si="90"/>
        <v>-4111.7750943048959</v>
      </c>
      <c r="P41" s="90">
        <f t="shared" ca="1" si="90"/>
        <v>-4316.109837211482</v>
      </c>
      <c r="Q41" s="90">
        <f t="shared" ca="1" si="90"/>
        <v>-4528.6534465084233</v>
      </c>
      <c r="R41" s="90">
        <f t="shared" ca="1" si="90"/>
        <v>-4749.7342768513299</v>
      </c>
      <c r="S41" s="90">
        <f t="shared" ca="1" si="90"/>
        <v>-4979.6938170820376</v>
      </c>
      <c r="T41" s="90">
        <f t="shared" ca="1" si="90"/>
        <v>-5218.8872155960635</v>
      </c>
      <c r="U41" s="90">
        <f t="shared" ca="1" si="90"/>
        <v>-5467.6838267247394</v>
      </c>
      <c r="V41" s="90">
        <f t="shared" ca="1" si="90"/>
        <v>-5726.4677789726493</v>
      </c>
      <c r="W41" s="90">
        <f t="shared" ca="1" si="90"/>
        <v>-5995.6385659845673</v>
      </c>
      <c r="X41" s="90">
        <f t="shared" ca="1" si="90"/>
        <v>-6268.6271909399302</v>
      </c>
      <c r="Y41" s="90">
        <f t="shared" ca="1" si="90"/>
        <v>-5129.1716920591307</v>
      </c>
      <c r="Z41" s="90">
        <f t="shared" ca="1" si="90"/>
        <v>-5432.6040648547005</v>
      </c>
      <c r="AA41" s="90">
        <f t="shared" ca="1" si="90"/>
        <v>-5745.7312530565214</v>
      </c>
    </row>
    <row r="42" spans="1:27" ht="15" customHeight="1" x14ac:dyDescent="0.45">
      <c r="A42" s="82"/>
      <c r="B42" t="s">
        <v>163</v>
      </c>
      <c r="C42"/>
      <c r="D42"/>
      <c r="F42">
        <f ca="1">SUM(F40:F41)</f>
        <v>0</v>
      </c>
      <c r="G42">
        <f t="shared" ref="G42:K42" ca="1" si="91">SUM(G40:G41)</f>
        <v>21.49836561339098</v>
      </c>
      <c r="H42">
        <f t="shared" ca="1" si="91"/>
        <v>-1184.7616720242822</v>
      </c>
      <c r="I42">
        <f t="shared" ca="1" si="91"/>
        <v>3592.9204558617857</v>
      </c>
      <c r="J42">
        <f t="shared" ca="1" si="91"/>
        <v>9607.7979325305387</v>
      </c>
      <c r="K42">
        <f t="shared" ca="1" si="91"/>
        <v>10111.16891712361</v>
      </c>
      <c r="L42">
        <f t="shared" ref="L42:AA42" ca="1" si="92">SUM(L40:L41)</f>
        <v>10634.781171122671</v>
      </c>
      <c r="M42">
        <f t="shared" ca="1" si="92"/>
        <v>11179.444345303968</v>
      </c>
      <c r="N42">
        <f t="shared" ca="1" si="92"/>
        <v>11746.000476474768</v>
      </c>
      <c r="O42">
        <f t="shared" ca="1" si="92"/>
        <v>12335.325282914688</v>
      </c>
      <c r="P42">
        <f t="shared" ca="1" si="92"/>
        <v>12948.329511634445</v>
      </c>
      <c r="Q42">
        <f t="shared" ca="1" si="92"/>
        <v>13585.960339525271</v>
      </c>
      <c r="R42">
        <f t="shared" ca="1" si="92"/>
        <v>14249.20283055399</v>
      </c>
      <c r="S42">
        <f t="shared" ca="1" si="92"/>
        <v>14939.081451246113</v>
      </c>
      <c r="T42">
        <f t="shared" ca="1" si="92"/>
        <v>15656.66164678819</v>
      </c>
      <c r="U42">
        <f t="shared" ca="1" si="92"/>
        <v>16403.051480174217</v>
      </c>
      <c r="V42">
        <f t="shared" ca="1" si="92"/>
        <v>17179.403336917949</v>
      </c>
      <c r="W42">
        <f t="shared" ca="1" si="92"/>
        <v>17986.9156979537</v>
      </c>
      <c r="X42">
        <f t="shared" ca="1" si="92"/>
        <v>18805.881572819791</v>
      </c>
      <c r="Y42">
        <f t="shared" ca="1" si="92"/>
        <v>15387.515076177391</v>
      </c>
      <c r="Z42">
        <f t="shared" ca="1" si="92"/>
        <v>16297.812194564101</v>
      </c>
      <c r="AA42">
        <f t="shared" ca="1" si="92"/>
        <v>17237.193759169564</v>
      </c>
    </row>
    <row r="43" spans="1:27" ht="15" customHeight="1" x14ac:dyDescent="0.45">
      <c r="A43" s="82"/>
      <c r="B43"/>
      <c r="C43"/>
      <c r="D43"/>
    </row>
    <row r="44" spans="1:27" ht="15" customHeight="1" x14ac:dyDescent="0.45">
      <c r="A44" s="82" t="s">
        <v>146</v>
      </c>
      <c r="B44"/>
      <c r="C44"/>
      <c r="D44"/>
    </row>
    <row r="45" spans="1:27" ht="15" customHeight="1" x14ac:dyDescent="0.45">
      <c r="A45" s="82"/>
      <c r="B45" t="s">
        <v>232</v>
      </c>
      <c r="C45"/>
      <c r="D45" s="91">
        <f>'Assumptions and Outputs'!D58</f>
        <v>0.5</v>
      </c>
      <c r="F45">
        <f ca="1">$D$45*F41</f>
        <v>0</v>
      </c>
      <c r="G45">
        <f t="shared" ref="G45:K45" ca="1" si="93">$D$45*G41</f>
        <v>-3.5830609355651633</v>
      </c>
      <c r="H45">
        <f t="shared" ca="1" si="93"/>
        <v>0</v>
      </c>
      <c r="I45">
        <f t="shared" ca="1" si="93"/>
        <v>-401.35979730625058</v>
      </c>
      <c r="J45">
        <f t="shared" ca="1" si="93"/>
        <v>-1601.2996554217564</v>
      </c>
      <c r="K45">
        <f t="shared" ca="1" si="93"/>
        <v>-1685.1948195206016</v>
      </c>
      <c r="L45">
        <f t="shared" ref="L45:AA45" ca="1" si="94">$D$45*L41</f>
        <v>-1772.4635285204454</v>
      </c>
      <c r="M45">
        <f t="shared" ca="1" si="94"/>
        <v>-1863.2407242173279</v>
      </c>
      <c r="N45">
        <f t="shared" ca="1" si="94"/>
        <v>-1957.6667460791282</v>
      </c>
      <c r="O45">
        <f t="shared" ca="1" si="94"/>
        <v>-2055.887547152448</v>
      </c>
      <c r="P45">
        <f t="shared" ca="1" si="94"/>
        <v>-2158.054918605741</v>
      </c>
      <c r="Q45">
        <f t="shared" ca="1" si="94"/>
        <v>-2264.3267232542116</v>
      </c>
      <c r="R45">
        <f t="shared" ca="1" si="94"/>
        <v>-2374.867138425665</v>
      </c>
      <c r="S45">
        <f t="shared" ca="1" si="94"/>
        <v>-2489.8469085410188</v>
      </c>
      <c r="T45">
        <f t="shared" ca="1" si="94"/>
        <v>-2609.4436077980317</v>
      </c>
      <c r="U45">
        <f t="shared" ca="1" si="94"/>
        <v>-2733.8419133623697</v>
      </c>
      <c r="V45">
        <f t="shared" ca="1" si="94"/>
        <v>-2863.2338894863246</v>
      </c>
      <c r="W45">
        <f t="shared" ca="1" si="94"/>
        <v>-2997.8192829922837</v>
      </c>
      <c r="X45">
        <f t="shared" ca="1" si="94"/>
        <v>-3134.3135954699651</v>
      </c>
      <c r="Y45">
        <f t="shared" ca="1" si="94"/>
        <v>-2564.5858460295653</v>
      </c>
      <c r="Z45">
        <f t="shared" ca="1" si="94"/>
        <v>-2716.3020324273502</v>
      </c>
      <c r="AA45">
        <f t="shared" ca="1" si="94"/>
        <v>-2872.8656265282607</v>
      </c>
    </row>
    <row r="46" spans="1:27" ht="15" customHeight="1" x14ac:dyDescent="0.45">
      <c r="A46" s="82"/>
      <c r="B46" t="s">
        <v>146</v>
      </c>
      <c r="C46"/>
      <c r="D46" s="91">
        <f>'Assumptions and Outputs'!D59</f>
        <v>0.5</v>
      </c>
      <c r="F46">
        <f ca="1">$D$46*F41*-1</f>
        <v>0</v>
      </c>
      <c r="G46">
        <f t="shared" ref="G46:K46" ca="1" si="95">$D$46*G41*-1</f>
        <v>3.5830609355651633</v>
      </c>
      <c r="H46">
        <f t="shared" ca="1" si="95"/>
        <v>0</v>
      </c>
      <c r="I46">
        <f t="shared" ca="1" si="95"/>
        <v>401.35979730625058</v>
      </c>
      <c r="J46">
        <f t="shared" ca="1" si="95"/>
        <v>1601.2996554217564</v>
      </c>
      <c r="K46">
        <f t="shared" ca="1" si="95"/>
        <v>1685.1948195206016</v>
      </c>
      <c r="L46">
        <f t="shared" ref="L46:AA46" ca="1" si="96">$D$46*L41*-1</f>
        <v>1772.4635285204454</v>
      </c>
      <c r="M46">
        <f t="shared" ca="1" si="96"/>
        <v>1863.2407242173279</v>
      </c>
      <c r="N46">
        <f t="shared" ca="1" si="96"/>
        <v>1957.6667460791282</v>
      </c>
      <c r="O46">
        <f t="shared" ca="1" si="96"/>
        <v>2055.887547152448</v>
      </c>
      <c r="P46">
        <f t="shared" ca="1" si="96"/>
        <v>2158.054918605741</v>
      </c>
      <c r="Q46">
        <f t="shared" ca="1" si="96"/>
        <v>2264.3267232542116</v>
      </c>
      <c r="R46">
        <f t="shared" ca="1" si="96"/>
        <v>2374.867138425665</v>
      </c>
      <c r="S46">
        <f t="shared" ca="1" si="96"/>
        <v>2489.8469085410188</v>
      </c>
      <c r="T46">
        <f t="shared" ca="1" si="96"/>
        <v>2609.4436077980317</v>
      </c>
      <c r="U46">
        <f t="shared" ca="1" si="96"/>
        <v>2733.8419133623697</v>
      </c>
      <c r="V46">
        <f t="shared" ca="1" si="96"/>
        <v>2863.2338894863246</v>
      </c>
      <c r="W46">
        <f t="shared" ca="1" si="96"/>
        <v>2997.8192829922837</v>
      </c>
      <c r="X46">
        <f t="shared" ca="1" si="96"/>
        <v>3134.3135954699651</v>
      </c>
      <c r="Y46">
        <f t="shared" ca="1" si="96"/>
        <v>2564.5858460295653</v>
      </c>
      <c r="Z46">
        <f t="shared" ca="1" si="96"/>
        <v>2716.3020324273502</v>
      </c>
      <c r="AA46">
        <f t="shared" ca="1" si="96"/>
        <v>2872.8656265282607</v>
      </c>
    </row>
    <row r="47" spans="1:27" ht="15" customHeight="1" x14ac:dyDescent="0.45">
      <c r="A47" s="82"/>
      <c r="B47"/>
      <c r="C47"/>
      <c r="D47"/>
    </row>
    <row r="48" spans="1:27" ht="15" customHeight="1" x14ac:dyDescent="0.45">
      <c r="A48" s="82"/>
      <c r="B48" t="s">
        <v>233</v>
      </c>
      <c r="C48"/>
      <c r="D48"/>
      <c r="F48">
        <f ca="1">F45</f>
        <v>0</v>
      </c>
      <c r="G48">
        <f t="shared" ref="G48:K48" ca="1" si="97">G45</f>
        <v>-3.5830609355651633</v>
      </c>
      <c r="H48">
        <f t="shared" ca="1" si="97"/>
        <v>0</v>
      </c>
      <c r="I48">
        <f t="shared" ca="1" si="97"/>
        <v>-401.35979730625058</v>
      </c>
      <c r="J48">
        <f t="shared" ca="1" si="97"/>
        <v>-1601.2996554217564</v>
      </c>
      <c r="K48">
        <f t="shared" ca="1" si="97"/>
        <v>-1685.1948195206016</v>
      </c>
      <c r="L48">
        <f t="shared" ref="L48:AA48" ca="1" si="98">L45</f>
        <v>-1772.4635285204454</v>
      </c>
      <c r="M48">
        <f t="shared" ca="1" si="98"/>
        <v>-1863.2407242173279</v>
      </c>
      <c r="N48">
        <f t="shared" ca="1" si="98"/>
        <v>-1957.6667460791282</v>
      </c>
      <c r="O48">
        <f t="shared" ca="1" si="98"/>
        <v>-2055.887547152448</v>
      </c>
      <c r="P48">
        <f t="shared" ca="1" si="98"/>
        <v>-2158.054918605741</v>
      </c>
      <c r="Q48">
        <f t="shared" ca="1" si="98"/>
        <v>-2264.3267232542116</v>
      </c>
      <c r="R48">
        <f t="shared" ca="1" si="98"/>
        <v>-2374.867138425665</v>
      </c>
      <c r="S48">
        <f t="shared" ca="1" si="98"/>
        <v>-2489.8469085410188</v>
      </c>
      <c r="T48">
        <f t="shared" ca="1" si="98"/>
        <v>-2609.4436077980317</v>
      </c>
      <c r="U48">
        <f t="shared" ca="1" si="98"/>
        <v>-2733.8419133623697</v>
      </c>
      <c r="V48">
        <f t="shared" ca="1" si="98"/>
        <v>-2863.2338894863246</v>
      </c>
      <c r="W48">
        <f t="shared" ca="1" si="98"/>
        <v>-2997.8192829922837</v>
      </c>
      <c r="X48">
        <f t="shared" ca="1" si="98"/>
        <v>-3134.3135954699651</v>
      </c>
      <c r="Y48">
        <f t="shared" ca="1" si="98"/>
        <v>-2564.5858460295653</v>
      </c>
      <c r="Z48">
        <f t="shared" ca="1" si="98"/>
        <v>-2716.3020324273502</v>
      </c>
      <c r="AA48">
        <f t="shared" ca="1" si="98"/>
        <v>-2872.8656265282607</v>
      </c>
    </row>
    <row r="49" spans="1:27" ht="15" customHeight="1" x14ac:dyDescent="0.45">
      <c r="A49" s="82"/>
      <c r="B49" t="s">
        <v>234</v>
      </c>
      <c r="C49"/>
      <c r="D49"/>
      <c r="F49">
        <f>E46*-1</f>
        <v>0</v>
      </c>
      <c r="G49">
        <f t="shared" ref="G49:K49" ca="1" si="99">F46*-1</f>
        <v>0</v>
      </c>
      <c r="H49">
        <f t="shared" ca="1" si="99"/>
        <v>-3.5830609355651633</v>
      </c>
      <c r="I49">
        <f t="shared" ca="1" si="99"/>
        <v>0</v>
      </c>
      <c r="J49">
        <f t="shared" ca="1" si="99"/>
        <v>-401.35979730625058</v>
      </c>
      <c r="K49">
        <f t="shared" ca="1" si="99"/>
        <v>-1601.2996554217564</v>
      </c>
      <c r="L49">
        <f t="shared" ref="L49" ca="1" si="100">K46*-1</f>
        <v>-1685.1948195206016</v>
      </c>
      <c r="M49">
        <f t="shared" ref="M49" ca="1" si="101">L46*-1</f>
        <v>-1772.4635285204454</v>
      </c>
      <c r="N49">
        <f t="shared" ref="N49" ca="1" si="102">M46*-1</f>
        <v>-1863.2407242173279</v>
      </c>
      <c r="O49">
        <f t="shared" ref="O49" ca="1" si="103">N46*-1</f>
        <v>-1957.6667460791282</v>
      </c>
      <c r="P49">
        <f t="shared" ref="P49" ca="1" si="104">O46*-1</f>
        <v>-2055.887547152448</v>
      </c>
      <c r="Q49">
        <f t="shared" ref="Q49" ca="1" si="105">P46*-1</f>
        <v>-2158.054918605741</v>
      </c>
      <c r="R49">
        <f t="shared" ref="R49" ca="1" si="106">Q46*-1</f>
        <v>-2264.3267232542116</v>
      </c>
      <c r="S49">
        <f t="shared" ref="S49" ca="1" si="107">R46*-1</f>
        <v>-2374.867138425665</v>
      </c>
      <c r="T49">
        <f t="shared" ref="T49" ca="1" si="108">S46*-1</f>
        <v>-2489.8469085410188</v>
      </c>
      <c r="U49">
        <f t="shared" ref="U49" ca="1" si="109">T46*-1</f>
        <v>-2609.4436077980317</v>
      </c>
      <c r="V49">
        <f t="shared" ref="V49" ca="1" si="110">U46*-1</f>
        <v>-2733.8419133623697</v>
      </c>
      <c r="W49">
        <f t="shared" ref="W49" ca="1" si="111">V46*-1</f>
        <v>-2863.2338894863246</v>
      </c>
      <c r="X49">
        <f t="shared" ref="X49" ca="1" si="112">W46*-1</f>
        <v>-2997.8192829922837</v>
      </c>
      <c r="Y49">
        <f t="shared" ref="Y49" ca="1" si="113">X46*-1</f>
        <v>-3134.3135954699651</v>
      </c>
      <c r="Z49">
        <f t="shared" ref="Z49" ca="1" si="114">Y46*-1</f>
        <v>-2564.5858460295653</v>
      </c>
      <c r="AA49">
        <f t="shared" ref="AA49" ca="1" si="115">Z46*-1</f>
        <v>-2716.3020324273502</v>
      </c>
    </row>
    <row r="50" spans="1:27" ht="15" customHeight="1" x14ac:dyDescent="0.45">
      <c r="A50" s="82"/>
      <c r="B50" t="s">
        <v>235</v>
      </c>
      <c r="C50"/>
      <c r="D50"/>
      <c r="F50">
        <f ca="1">SUM(F48:F49)</f>
        <v>0</v>
      </c>
      <c r="G50">
        <f t="shared" ref="G50:K50" ca="1" si="116">SUM(G48:G49)</f>
        <v>-3.5830609355651633</v>
      </c>
      <c r="H50">
        <f t="shared" ca="1" si="116"/>
        <v>-3.5830609355651633</v>
      </c>
      <c r="I50">
        <f t="shared" ca="1" si="116"/>
        <v>-401.35979730625058</v>
      </c>
      <c r="J50">
        <f t="shared" ca="1" si="116"/>
        <v>-2002.659452728007</v>
      </c>
      <c r="K50">
        <f t="shared" ca="1" si="116"/>
        <v>-3286.494474942358</v>
      </c>
      <c r="L50">
        <f t="shared" ref="L50:AA50" ca="1" si="117">SUM(L48:L49)</f>
        <v>-3457.6583480410472</v>
      </c>
      <c r="M50">
        <f t="shared" ca="1" si="117"/>
        <v>-3635.7042527377735</v>
      </c>
      <c r="N50">
        <f t="shared" ca="1" si="117"/>
        <v>-3820.9074702964563</v>
      </c>
      <c r="O50">
        <f t="shared" ca="1" si="117"/>
        <v>-4013.5542932315761</v>
      </c>
      <c r="P50">
        <f t="shared" ca="1" si="117"/>
        <v>-4213.9424657581894</v>
      </c>
      <c r="Q50">
        <f t="shared" ca="1" si="117"/>
        <v>-4422.3816418599527</v>
      </c>
      <c r="R50">
        <f t="shared" ca="1" si="117"/>
        <v>-4639.1938616798761</v>
      </c>
      <c r="S50">
        <f t="shared" ca="1" si="117"/>
        <v>-4864.7140469666838</v>
      </c>
      <c r="T50">
        <f t="shared" ca="1" si="117"/>
        <v>-5099.2905163390506</v>
      </c>
      <c r="U50">
        <f t="shared" ca="1" si="117"/>
        <v>-5343.2855211604019</v>
      </c>
      <c r="V50">
        <f t="shared" ca="1" si="117"/>
        <v>-5597.0758028486944</v>
      </c>
      <c r="W50">
        <f t="shared" ca="1" si="117"/>
        <v>-5861.0531724786088</v>
      </c>
      <c r="X50">
        <f t="shared" ca="1" si="117"/>
        <v>-6132.1328784622492</v>
      </c>
      <c r="Y50">
        <f t="shared" ca="1" si="117"/>
        <v>-5698.8994414995304</v>
      </c>
      <c r="Z50">
        <f t="shared" ca="1" si="117"/>
        <v>-5280.8878784569151</v>
      </c>
      <c r="AA50">
        <f t="shared" ca="1" si="117"/>
        <v>-5589.1676589556109</v>
      </c>
    </row>
    <row r="51" spans="1:27" ht="15" customHeight="1" x14ac:dyDescent="0.45">
      <c r="A51" s="82"/>
      <c r="B51"/>
      <c r="C51"/>
      <c r="D51"/>
      <c r="L51" t="str">
        <f t="shared" ref="L51:L57" ca="1" si="118">IF(ISBLANK(K51),"",_xlfn.FORMULATEXT(K51))</f>
        <v/>
      </c>
    </row>
    <row r="52" spans="1:27" ht="15" customHeight="1" x14ac:dyDescent="0.45">
      <c r="A52" s="59" t="s">
        <v>43</v>
      </c>
      <c r="B52"/>
      <c r="C52"/>
      <c r="D52"/>
      <c r="L52" t="str">
        <f t="shared" ca="1" si="118"/>
        <v/>
      </c>
    </row>
    <row r="53" spans="1:27" ht="15" customHeight="1" x14ac:dyDescent="0.45">
      <c r="A53" s="82"/>
      <c r="B53"/>
      <c r="C53" s="77"/>
      <c r="D53"/>
      <c r="L53" t="str">
        <f t="shared" ca="1" si="118"/>
        <v/>
      </c>
    </row>
    <row r="54" spans="1:27" ht="15" customHeight="1" x14ac:dyDescent="0.45">
      <c r="A54" s="82"/>
      <c r="B54"/>
      <c r="C54" s="77"/>
      <c r="D54"/>
      <c r="L54" t="str">
        <f t="shared" ca="1" si="118"/>
        <v/>
      </c>
    </row>
    <row r="55" spans="1:27" ht="15" customHeight="1" x14ac:dyDescent="0.45">
      <c r="A55" s="82"/>
      <c r="B55"/>
      <c r="C55" s="77"/>
      <c r="D55"/>
      <c r="L55" t="str">
        <f t="shared" ca="1" si="118"/>
        <v/>
      </c>
    </row>
    <row r="56" spans="1:27" ht="15" customHeight="1" x14ac:dyDescent="0.45">
      <c r="A56" s="82"/>
      <c r="B56"/>
      <c r="C56" s="77"/>
      <c r="D56"/>
      <c r="L56" t="str">
        <f t="shared" ca="1" si="118"/>
        <v/>
      </c>
    </row>
    <row r="57" spans="1:27" ht="15" customHeight="1" x14ac:dyDescent="0.45">
      <c r="A57" s="82"/>
      <c r="B57"/>
      <c r="C57" s="77"/>
      <c r="D57"/>
      <c r="L57" t="str">
        <f t="shared" ca="1" si="118"/>
        <v/>
      </c>
    </row>
    <row r="58" spans="1:27" ht="15" customHeight="1" x14ac:dyDescent="0.45">
      <c r="A58" s="82"/>
      <c r="B58"/>
      <c r="C58" s="77"/>
      <c r="D58"/>
    </row>
    <row r="59" spans="1:27" ht="15" customHeight="1" x14ac:dyDescent="0.45">
      <c r="A59" s="82"/>
      <c r="B59"/>
      <c r="C59" s="77"/>
      <c r="D59"/>
    </row>
    <row r="60" spans="1:27" ht="15" customHeight="1" x14ac:dyDescent="0.45">
      <c r="A60" s="82"/>
      <c r="B60"/>
      <c r="C60" s="77"/>
      <c r="D60"/>
    </row>
    <row r="61" spans="1:27" ht="15" customHeight="1" x14ac:dyDescent="0.45">
      <c r="A61" s="82"/>
      <c r="B61"/>
      <c r="C61" s="77"/>
      <c r="D61"/>
    </row>
    <row r="62" spans="1:27" ht="15" customHeight="1" x14ac:dyDescent="0.45">
      <c r="A62" s="82"/>
      <c r="B62"/>
      <c r="C62" s="77"/>
      <c r="D62"/>
    </row>
    <row r="63" spans="1:27" ht="15" customHeight="1" x14ac:dyDescent="0.45">
      <c r="A63" s="82"/>
      <c r="B63"/>
      <c r="C63" s="77"/>
      <c r="D63"/>
    </row>
    <row r="64" spans="1:27" ht="15" customHeight="1" x14ac:dyDescent="0.45">
      <c r="A64" s="82"/>
      <c r="B64"/>
      <c r="C64" s="77"/>
      <c r="D64"/>
    </row>
    <row r="65" spans="1:4" ht="15" customHeight="1" x14ac:dyDescent="0.45">
      <c r="A65" s="82"/>
      <c r="B65"/>
      <c r="C65" s="77"/>
      <c r="D65"/>
    </row>
    <row r="66" spans="1:4" ht="15" customHeight="1" x14ac:dyDescent="0.45">
      <c r="A66" s="82"/>
      <c r="B66"/>
      <c r="C66" s="77"/>
      <c r="D66"/>
    </row>
    <row r="67" spans="1:4" ht="15" customHeight="1" x14ac:dyDescent="0.45">
      <c r="A67" s="82"/>
      <c r="B67"/>
      <c r="C67" s="77"/>
      <c r="D67"/>
    </row>
    <row r="68" spans="1:4" ht="15" customHeight="1" x14ac:dyDescent="0.45">
      <c r="A68" s="82"/>
      <c r="B68"/>
      <c r="C68" s="77"/>
      <c r="D68"/>
    </row>
    <row r="69" spans="1:4" ht="15" customHeight="1" x14ac:dyDescent="0.45">
      <c r="A69" s="82"/>
      <c r="B69"/>
      <c r="C69" s="77"/>
      <c r="D69"/>
    </row>
    <row r="70" spans="1:4" ht="15" customHeight="1" x14ac:dyDescent="0.45">
      <c r="A70" s="82"/>
      <c r="B70"/>
      <c r="C70" s="77"/>
      <c r="D70"/>
    </row>
    <row r="71" spans="1:4" ht="15" customHeight="1" x14ac:dyDescent="0.45">
      <c r="A71" s="82"/>
      <c r="B71"/>
      <c r="C71" s="77"/>
      <c r="D71"/>
    </row>
    <row r="72" spans="1:4" ht="15" customHeight="1" x14ac:dyDescent="0.45">
      <c r="A72" s="82"/>
      <c r="B72"/>
      <c r="C72" s="77"/>
      <c r="D72"/>
    </row>
    <row r="73" spans="1:4" ht="15" customHeight="1" x14ac:dyDescent="0.45">
      <c r="A73" s="82"/>
      <c r="B73"/>
      <c r="C73" s="77"/>
      <c r="D73"/>
    </row>
    <row r="74" spans="1:4" ht="15" customHeight="1" x14ac:dyDescent="0.45">
      <c r="A74" s="82"/>
      <c r="B74"/>
      <c r="C74" s="77"/>
      <c r="D74"/>
    </row>
    <row r="75" spans="1:4" ht="15" customHeight="1" x14ac:dyDescent="0.45">
      <c r="A75" s="82"/>
      <c r="B75"/>
      <c r="C75" s="77"/>
      <c r="D75"/>
    </row>
    <row r="76" spans="1:4" ht="15" customHeight="1" x14ac:dyDescent="0.45">
      <c r="A76" s="82"/>
      <c r="B76"/>
      <c r="C76" s="77"/>
      <c r="D76"/>
    </row>
    <row r="77" spans="1:4" ht="15" customHeight="1" x14ac:dyDescent="0.45">
      <c r="A77" s="82"/>
      <c r="B77"/>
      <c r="C77" s="77"/>
      <c r="D77"/>
    </row>
    <row r="78" spans="1:4" ht="15" customHeight="1" x14ac:dyDescent="0.45">
      <c r="A78" s="82"/>
      <c r="B78"/>
      <c r="C78" s="77"/>
      <c r="D78"/>
    </row>
    <row r="79" spans="1:4" ht="15" customHeight="1" x14ac:dyDescent="0.45">
      <c r="A79" s="82"/>
      <c r="B79"/>
      <c r="C79" s="77"/>
      <c r="D79"/>
    </row>
    <row r="80" spans="1:4" ht="15" customHeight="1" x14ac:dyDescent="0.45">
      <c r="A80" s="82"/>
      <c r="B80"/>
      <c r="C80" s="77"/>
      <c r="D80"/>
    </row>
    <row r="81" spans="1:4" ht="15" customHeight="1" x14ac:dyDescent="0.45">
      <c r="A81" s="82"/>
      <c r="B81"/>
      <c r="C81" s="77"/>
      <c r="D81"/>
    </row>
    <row r="82" spans="1:4" ht="15" customHeight="1" x14ac:dyDescent="0.45">
      <c r="A82" s="82"/>
      <c r="B82"/>
      <c r="C82" s="77"/>
      <c r="D82"/>
    </row>
    <row r="83" spans="1:4" ht="15" customHeight="1" x14ac:dyDescent="0.45">
      <c r="A83" s="82"/>
      <c r="B83"/>
      <c r="C83" s="77"/>
      <c r="D83"/>
    </row>
    <row r="84" spans="1:4" ht="15" customHeight="1" x14ac:dyDescent="0.45">
      <c r="A84" s="82"/>
      <c r="B84"/>
      <c r="C84" s="77"/>
      <c r="D84"/>
    </row>
    <row r="85" spans="1:4" ht="15" customHeight="1" x14ac:dyDescent="0.45">
      <c r="A85" s="82"/>
      <c r="B85"/>
      <c r="C85" s="77"/>
      <c r="D85"/>
    </row>
    <row r="86" spans="1:4" ht="15" customHeight="1" x14ac:dyDescent="0.45">
      <c r="A86" s="82"/>
      <c r="B86"/>
      <c r="C86" s="77"/>
      <c r="D86"/>
    </row>
    <row r="87" spans="1:4" ht="15" customHeight="1" x14ac:dyDescent="0.45">
      <c r="A87" s="82"/>
      <c r="B87"/>
      <c r="C87" s="77"/>
      <c r="D87"/>
    </row>
    <row r="88" spans="1:4" ht="15" customHeight="1" x14ac:dyDescent="0.45">
      <c r="A88" s="82"/>
      <c r="B88"/>
      <c r="C88" s="77"/>
      <c r="D88"/>
    </row>
    <row r="89" spans="1:4" ht="15" customHeight="1" x14ac:dyDescent="0.45">
      <c r="A89" s="82"/>
      <c r="B89"/>
      <c r="C89" s="77"/>
      <c r="D89"/>
    </row>
    <row r="90" spans="1:4" ht="15" customHeight="1" x14ac:dyDescent="0.45">
      <c r="A90" s="82"/>
      <c r="B90"/>
      <c r="C90" s="77"/>
      <c r="D90"/>
    </row>
    <row r="91" spans="1:4" ht="15" customHeight="1" x14ac:dyDescent="0.45">
      <c r="A91" s="82"/>
      <c r="B91"/>
      <c r="C91" s="77"/>
      <c r="D91"/>
    </row>
    <row r="92" spans="1:4" ht="15" customHeight="1" x14ac:dyDescent="0.45">
      <c r="A92" s="82"/>
      <c r="B92"/>
      <c r="C92" s="77"/>
      <c r="D92"/>
    </row>
    <row r="93" spans="1:4" ht="15" customHeight="1" x14ac:dyDescent="0.45">
      <c r="A93" s="82"/>
      <c r="B93"/>
      <c r="C93" s="77"/>
      <c r="D93"/>
    </row>
    <row r="94" spans="1:4" ht="15" customHeight="1" x14ac:dyDescent="0.45">
      <c r="A94" s="82"/>
      <c r="B94"/>
      <c r="C94" s="77"/>
      <c r="D94"/>
    </row>
    <row r="95" spans="1:4" ht="15" customHeight="1" x14ac:dyDescent="0.45">
      <c r="A95" s="82"/>
      <c r="B95"/>
      <c r="C95" s="77"/>
      <c r="D95"/>
    </row>
    <row r="96" spans="1:4" ht="15" customHeight="1" x14ac:dyDescent="0.45">
      <c r="A96" s="82"/>
      <c r="B96"/>
      <c r="C96" s="77"/>
      <c r="D96"/>
    </row>
    <row r="97" spans="1:4" ht="15" customHeight="1" x14ac:dyDescent="0.45">
      <c r="A97" s="82"/>
      <c r="B97"/>
      <c r="C97" s="77"/>
      <c r="D97"/>
    </row>
    <row r="98" spans="1:4" ht="15" customHeight="1" x14ac:dyDescent="0.45">
      <c r="A98" s="82"/>
      <c r="B98"/>
      <c r="C98" s="77"/>
      <c r="D98"/>
    </row>
    <row r="99" spans="1:4" ht="15" customHeight="1" x14ac:dyDescent="0.45">
      <c r="A99" s="82"/>
      <c r="B99"/>
      <c r="C99" s="77"/>
      <c r="D99"/>
    </row>
    <row r="100" spans="1:4" ht="15" customHeight="1" x14ac:dyDescent="0.45">
      <c r="A100" s="82"/>
      <c r="B100"/>
      <c r="C100" s="77"/>
      <c r="D100"/>
    </row>
    <row r="101" spans="1:4" ht="15" customHeight="1" x14ac:dyDescent="0.45">
      <c r="A101" s="82"/>
      <c r="B101"/>
      <c r="C101" s="77"/>
      <c r="D101"/>
    </row>
    <row r="102" spans="1:4" ht="15" customHeight="1" x14ac:dyDescent="0.45">
      <c r="A102" s="82"/>
      <c r="B102"/>
      <c r="C102" s="77"/>
      <c r="D102"/>
    </row>
    <row r="103" spans="1:4" ht="15" customHeight="1" x14ac:dyDescent="0.45">
      <c r="A103" s="82"/>
      <c r="B103"/>
      <c r="C103" s="77"/>
      <c r="D103"/>
    </row>
    <row r="104" spans="1:4" ht="15" customHeight="1" x14ac:dyDescent="0.45">
      <c r="A104" s="82"/>
      <c r="B104"/>
      <c r="C104" s="77"/>
      <c r="D104"/>
    </row>
    <row r="105" spans="1:4" ht="15" customHeight="1" x14ac:dyDescent="0.45">
      <c r="A105" s="82"/>
      <c r="B105"/>
      <c r="C105" s="77"/>
      <c r="D105"/>
    </row>
    <row r="106" spans="1:4" ht="15" customHeight="1" x14ac:dyDescent="0.45">
      <c r="A106" s="82"/>
      <c r="B106"/>
      <c r="C106" s="77"/>
      <c r="D106"/>
    </row>
    <row r="107" spans="1:4" ht="15" customHeight="1" x14ac:dyDescent="0.45">
      <c r="A107" s="82"/>
      <c r="B107"/>
      <c r="C107" s="77"/>
      <c r="D107"/>
    </row>
    <row r="108" spans="1:4" ht="15" customHeight="1" x14ac:dyDescent="0.45">
      <c r="A108" s="82"/>
      <c r="B108"/>
      <c r="C108" s="77"/>
      <c r="D108"/>
    </row>
    <row r="109" spans="1:4" ht="15" customHeight="1" x14ac:dyDescent="0.45">
      <c r="A109" s="82"/>
      <c r="B109"/>
      <c r="C109" s="77"/>
      <c r="D109"/>
    </row>
    <row r="110" spans="1:4" ht="15" customHeight="1" x14ac:dyDescent="0.45">
      <c r="A110" s="82"/>
      <c r="B110"/>
      <c r="C110" s="77"/>
      <c r="D110"/>
    </row>
    <row r="111" spans="1:4" ht="15" customHeight="1" x14ac:dyDescent="0.45">
      <c r="A111" s="82"/>
      <c r="B111"/>
      <c r="C111" s="77"/>
      <c r="D111"/>
    </row>
    <row r="112" spans="1:4" ht="15" customHeight="1" x14ac:dyDescent="0.45">
      <c r="A112" s="82"/>
      <c r="B112"/>
      <c r="C112" s="77"/>
      <c r="D112"/>
    </row>
    <row r="113" spans="1:4" ht="15" customHeight="1" x14ac:dyDescent="0.45">
      <c r="A113" s="82"/>
      <c r="B113"/>
      <c r="C113" s="77"/>
      <c r="D113"/>
    </row>
    <row r="114" spans="1:4" ht="15" customHeight="1" x14ac:dyDescent="0.45">
      <c r="A114" s="82"/>
      <c r="B114"/>
      <c r="C114" s="77"/>
      <c r="D114"/>
    </row>
    <row r="115" spans="1:4" ht="15" customHeight="1" x14ac:dyDescent="0.45">
      <c r="A115" s="82"/>
      <c r="B115"/>
      <c r="C115" s="77"/>
      <c r="D115"/>
    </row>
    <row r="116" spans="1:4" ht="15" customHeight="1" x14ac:dyDescent="0.45">
      <c r="A116" s="82"/>
      <c r="B116"/>
      <c r="C116" s="77"/>
      <c r="D116"/>
    </row>
    <row r="117" spans="1:4" ht="15" customHeight="1" x14ac:dyDescent="0.45">
      <c r="A117" s="82"/>
      <c r="B117"/>
      <c r="C117" s="77"/>
      <c r="D117"/>
    </row>
    <row r="118" spans="1:4" ht="15" customHeight="1" x14ac:dyDescent="0.45">
      <c r="A118" s="82"/>
      <c r="B118"/>
      <c r="C118" s="77"/>
      <c r="D118"/>
    </row>
    <row r="119" spans="1:4" ht="15" customHeight="1" x14ac:dyDescent="0.45">
      <c r="A119" s="82"/>
      <c r="B119"/>
      <c r="C119" s="77"/>
      <c r="D119"/>
    </row>
    <row r="120" spans="1:4" ht="15" customHeight="1" x14ac:dyDescent="0.45">
      <c r="A120" s="82"/>
      <c r="B120"/>
      <c r="C120" s="77"/>
      <c r="D120"/>
    </row>
    <row r="121" spans="1:4" ht="15" customHeight="1" x14ac:dyDescent="0.45">
      <c r="A121" s="82"/>
      <c r="B121"/>
      <c r="C121" s="77"/>
      <c r="D121"/>
    </row>
    <row r="122" spans="1:4" ht="15" customHeight="1" x14ac:dyDescent="0.45">
      <c r="A122" s="82"/>
      <c r="B122"/>
      <c r="C122" s="77"/>
      <c r="D122"/>
    </row>
    <row r="123" spans="1:4" ht="15" customHeight="1" x14ac:dyDescent="0.45">
      <c r="A123" s="82"/>
      <c r="B123"/>
      <c r="C123" s="77"/>
      <c r="D123"/>
    </row>
    <row r="124" spans="1:4" ht="15" customHeight="1" x14ac:dyDescent="0.45">
      <c r="A124" s="82"/>
      <c r="B124"/>
      <c r="C124" s="77"/>
      <c r="D124"/>
    </row>
    <row r="125" spans="1:4" ht="15" customHeight="1" x14ac:dyDescent="0.45">
      <c r="A125" s="82"/>
      <c r="B125"/>
      <c r="C125" s="77"/>
      <c r="D125"/>
    </row>
    <row r="126" spans="1:4" ht="15" customHeight="1" x14ac:dyDescent="0.45">
      <c r="A126" s="82"/>
      <c r="B126"/>
      <c r="C126" s="77"/>
      <c r="D126"/>
    </row>
    <row r="127" spans="1:4" ht="15" customHeight="1" x14ac:dyDescent="0.45">
      <c r="A127" s="82"/>
      <c r="B127"/>
      <c r="C127" s="77"/>
      <c r="D127"/>
    </row>
    <row r="128" spans="1:4" ht="15" customHeight="1" x14ac:dyDescent="0.45">
      <c r="A128" s="82"/>
      <c r="B128"/>
      <c r="C128" s="77"/>
      <c r="D128"/>
    </row>
    <row r="129" spans="1:4" ht="15" customHeight="1" x14ac:dyDescent="0.45">
      <c r="A129" s="82"/>
      <c r="B129"/>
      <c r="C129" s="77"/>
      <c r="D129"/>
    </row>
    <row r="130" spans="1:4" ht="15" customHeight="1" x14ac:dyDescent="0.45">
      <c r="A130" s="82"/>
      <c r="B130"/>
      <c r="C130" s="77"/>
      <c r="D130"/>
    </row>
    <row r="131" spans="1:4" ht="15" customHeight="1" x14ac:dyDescent="0.45">
      <c r="A131" s="82"/>
      <c r="B131"/>
      <c r="C131" s="77"/>
      <c r="D131"/>
    </row>
    <row r="132" spans="1:4" ht="15" customHeight="1" x14ac:dyDescent="0.45">
      <c r="A132" s="82"/>
      <c r="B132"/>
      <c r="C132" s="77"/>
      <c r="D132"/>
    </row>
    <row r="133" spans="1:4" ht="15" customHeight="1" x14ac:dyDescent="0.45">
      <c r="A133" s="82"/>
      <c r="B133"/>
      <c r="C133" s="77"/>
      <c r="D133"/>
    </row>
    <row r="134" spans="1:4" ht="15" customHeight="1" x14ac:dyDescent="0.45">
      <c r="A134" s="82"/>
      <c r="B134"/>
      <c r="C134" s="77"/>
      <c r="D134"/>
    </row>
    <row r="135" spans="1:4" ht="15" customHeight="1" x14ac:dyDescent="0.45">
      <c r="A135" s="82"/>
      <c r="B135"/>
      <c r="C135" s="77"/>
      <c r="D135"/>
    </row>
    <row r="136" spans="1:4" ht="15" customHeight="1" x14ac:dyDescent="0.45">
      <c r="A136" s="82"/>
      <c r="B136"/>
      <c r="C136" s="77"/>
      <c r="D136"/>
    </row>
    <row r="137" spans="1:4" ht="15" customHeight="1" x14ac:dyDescent="0.45">
      <c r="A137" s="82"/>
      <c r="B137"/>
      <c r="C137" s="77"/>
      <c r="D137"/>
    </row>
    <row r="138" spans="1:4" ht="15" customHeight="1" x14ac:dyDescent="0.45">
      <c r="A138" s="82"/>
      <c r="B138"/>
      <c r="C138" s="77"/>
      <c r="D138"/>
    </row>
    <row r="139" spans="1:4" ht="15" customHeight="1" x14ac:dyDescent="0.45">
      <c r="A139" s="82"/>
      <c r="B139"/>
      <c r="C139" s="77"/>
      <c r="D139"/>
    </row>
    <row r="140" spans="1:4" ht="15" customHeight="1" x14ac:dyDescent="0.45">
      <c r="A140" s="82"/>
      <c r="B140"/>
      <c r="C140" s="77"/>
      <c r="D140"/>
    </row>
    <row r="141" spans="1:4" ht="15" customHeight="1" x14ac:dyDescent="0.45">
      <c r="A141" s="82"/>
      <c r="B141"/>
      <c r="C141" s="77"/>
      <c r="D141"/>
    </row>
    <row r="142" spans="1:4" ht="15" customHeight="1" x14ac:dyDescent="0.45">
      <c r="A142" s="82"/>
      <c r="B142"/>
      <c r="C142" s="77"/>
      <c r="D142"/>
    </row>
    <row r="143" spans="1:4" ht="15" customHeight="1" x14ac:dyDescent="0.45">
      <c r="A143" s="82"/>
      <c r="B143"/>
      <c r="C143" s="77"/>
      <c r="D143"/>
    </row>
    <row r="144" spans="1:4" ht="15" customHeight="1" x14ac:dyDescent="0.45">
      <c r="A144" s="82"/>
      <c r="B144"/>
      <c r="C144" s="77"/>
      <c r="D144"/>
    </row>
    <row r="145" spans="1:4" ht="15" customHeight="1" x14ac:dyDescent="0.45">
      <c r="A145" s="82"/>
      <c r="B145"/>
      <c r="C145" s="77"/>
      <c r="D145"/>
    </row>
    <row r="146" spans="1:4" ht="15" customHeight="1" x14ac:dyDescent="0.45">
      <c r="A146" s="82"/>
      <c r="B146"/>
      <c r="C146" s="77"/>
      <c r="D146"/>
    </row>
    <row r="147" spans="1:4" ht="15" customHeight="1" x14ac:dyDescent="0.45">
      <c r="A147" s="82"/>
      <c r="B147"/>
      <c r="C147" s="77"/>
      <c r="D147"/>
    </row>
    <row r="148" spans="1:4" ht="15" customHeight="1" x14ac:dyDescent="0.45">
      <c r="A148" s="82"/>
      <c r="B148"/>
      <c r="C148" s="77"/>
      <c r="D148"/>
    </row>
    <row r="149" spans="1:4" ht="15" customHeight="1" x14ac:dyDescent="0.45">
      <c r="A149" s="82"/>
      <c r="B149"/>
      <c r="C149" s="77"/>
      <c r="D149"/>
    </row>
    <row r="150" spans="1:4" ht="15" customHeight="1" x14ac:dyDescent="0.45">
      <c r="A150" s="82"/>
      <c r="B150"/>
      <c r="C150" s="77"/>
      <c r="D150"/>
    </row>
    <row r="151" spans="1:4" ht="15" customHeight="1" x14ac:dyDescent="0.45">
      <c r="A151" s="82"/>
      <c r="B151"/>
      <c r="C151" s="77"/>
      <c r="D151"/>
    </row>
    <row r="152" spans="1:4" ht="15" customHeight="1" x14ac:dyDescent="0.45">
      <c r="A152" s="82"/>
      <c r="B152"/>
      <c r="C152" s="77"/>
      <c r="D152"/>
    </row>
    <row r="153" spans="1:4" ht="15" customHeight="1" x14ac:dyDescent="0.45">
      <c r="A153" s="82"/>
      <c r="B153"/>
      <c r="C153" s="77"/>
      <c r="D153"/>
    </row>
    <row r="154" spans="1:4" ht="15" customHeight="1" x14ac:dyDescent="0.45">
      <c r="A154" s="82"/>
      <c r="B154"/>
      <c r="C154" s="77"/>
      <c r="D154"/>
    </row>
    <row r="155" spans="1:4" ht="15" customHeight="1" x14ac:dyDescent="0.45">
      <c r="A155" s="82"/>
      <c r="B155"/>
      <c r="C155" s="77"/>
      <c r="D155"/>
    </row>
    <row r="156" spans="1:4" ht="15" customHeight="1" x14ac:dyDescent="0.45">
      <c r="A156" s="82"/>
      <c r="B156"/>
      <c r="C156" s="77"/>
      <c r="D156"/>
    </row>
    <row r="157" spans="1:4" ht="15" customHeight="1" x14ac:dyDescent="0.45">
      <c r="A157" s="82"/>
      <c r="B157"/>
      <c r="C157" s="77"/>
      <c r="D157"/>
    </row>
    <row r="158" spans="1:4" ht="15" customHeight="1" x14ac:dyDescent="0.45">
      <c r="A158" s="82"/>
      <c r="B158"/>
      <c r="C158" s="77"/>
      <c r="D158"/>
    </row>
    <row r="159" spans="1:4" ht="15" customHeight="1" x14ac:dyDescent="0.45">
      <c r="A159" s="82"/>
      <c r="B159"/>
      <c r="C159" s="77"/>
      <c r="D159"/>
    </row>
    <row r="160" spans="1:4" ht="15" customHeight="1" x14ac:dyDescent="0.45">
      <c r="A160" s="82"/>
      <c r="B160"/>
      <c r="C160" s="77"/>
      <c r="D160"/>
    </row>
    <row r="161" spans="1:4" ht="15" customHeight="1" x14ac:dyDescent="0.45">
      <c r="A161" s="82"/>
      <c r="B161"/>
      <c r="C161" s="77"/>
      <c r="D161"/>
    </row>
    <row r="162" spans="1:4" ht="15" customHeight="1" x14ac:dyDescent="0.45">
      <c r="A162" s="82"/>
      <c r="B162"/>
      <c r="C162" s="77"/>
      <c r="D162"/>
    </row>
    <row r="163" spans="1:4" ht="15" customHeight="1" x14ac:dyDescent="0.45">
      <c r="A163" s="82"/>
      <c r="B163"/>
      <c r="C163" s="77"/>
      <c r="D163"/>
    </row>
    <row r="164" spans="1:4" ht="15" customHeight="1" x14ac:dyDescent="0.45">
      <c r="A164" s="82"/>
      <c r="B164"/>
      <c r="C164" s="77"/>
      <c r="D164"/>
    </row>
    <row r="165" spans="1:4" ht="15" customHeight="1" x14ac:dyDescent="0.45">
      <c r="A165" s="82"/>
      <c r="B165"/>
      <c r="C165" s="77"/>
      <c r="D165"/>
    </row>
    <row r="166" spans="1:4" ht="15" customHeight="1" x14ac:dyDescent="0.45">
      <c r="A166" s="82"/>
      <c r="B166"/>
      <c r="C166" s="77"/>
      <c r="D166"/>
    </row>
    <row r="167" spans="1:4" ht="15" customHeight="1" x14ac:dyDescent="0.45">
      <c r="A167" s="82"/>
      <c r="B167"/>
      <c r="C167" s="77"/>
      <c r="D167"/>
    </row>
    <row r="168" spans="1:4" ht="15" customHeight="1" x14ac:dyDescent="0.45">
      <c r="A168" s="82"/>
      <c r="B168"/>
      <c r="C168" s="77"/>
      <c r="D168"/>
    </row>
    <row r="169" spans="1:4" ht="15" customHeight="1" x14ac:dyDescent="0.45">
      <c r="A169" s="82"/>
      <c r="B169"/>
      <c r="C169" s="77"/>
      <c r="D169"/>
    </row>
    <row r="170" spans="1:4" ht="15" customHeight="1" x14ac:dyDescent="0.45">
      <c r="A170" s="82"/>
      <c r="B170"/>
      <c r="C170" s="77"/>
      <c r="D170"/>
    </row>
    <row r="171" spans="1:4" ht="15" customHeight="1" x14ac:dyDescent="0.45">
      <c r="A171" s="82"/>
      <c r="B171"/>
      <c r="C171" s="77"/>
      <c r="D171"/>
    </row>
    <row r="172" spans="1:4" ht="15" customHeight="1" x14ac:dyDescent="0.45">
      <c r="A172" s="82"/>
      <c r="B172"/>
      <c r="C172" s="77"/>
      <c r="D172"/>
    </row>
    <row r="173" spans="1:4" ht="15" customHeight="1" x14ac:dyDescent="0.45">
      <c r="A173" s="82"/>
      <c r="B173"/>
      <c r="C173" s="77"/>
      <c r="D173"/>
    </row>
    <row r="174" spans="1:4" ht="15" customHeight="1" x14ac:dyDescent="0.45">
      <c r="A174" s="82"/>
      <c r="B174"/>
      <c r="C174" s="77"/>
      <c r="D174"/>
    </row>
    <row r="175" spans="1:4" ht="15" customHeight="1" x14ac:dyDescent="0.45">
      <c r="A175" s="82"/>
      <c r="B175"/>
      <c r="C175" s="77"/>
      <c r="D175"/>
    </row>
    <row r="176" spans="1:4" ht="15" customHeight="1" x14ac:dyDescent="0.45">
      <c r="A176" s="82"/>
      <c r="B176"/>
      <c r="C176" s="77"/>
      <c r="D176"/>
    </row>
    <row r="177" spans="1:4" ht="15" customHeight="1" x14ac:dyDescent="0.45">
      <c r="A177" s="82"/>
      <c r="B177"/>
      <c r="C177" s="77"/>
      <c r="D177"/>
    </row>
    <row r="178" spans="1:4" ht="15" customHeight="1" x14ac:dyDescent="0.45">
      <c r="A178" s="82"/>
      <c r="B178"/>
      <c r="C178" s="77"/>
      <c r="D178"/>
    </row>
    <row r="179" spans="1:4" ht="15" customHeight="1" x14ac:dyDescent="0.45">
      <c r="A179" s="82"/>
      <c r="B179"/>
      <c r="C179" s="77"/>
      <c r="D179"/>
    </row>
    <row r="180" spans="1:4" ht="15" customHeight="1" x14ac:dyDescent="0.45">
      <c r="A180" s="82"/>
      <c r="B180"/>
      <c r="C180" s="77"/>
      <c r="D180"/>
    </row>
    <row r="181" spans="1:4" ht="15" customHeight="1" x14ac:dyDescent="0.45">
      <c r="A181" s="82"/>
      <c r="B181"/>
      <c r="C181" s="77"/>
      <c r="D181"/>
    </row>
    <row r="182" spans="1:4" ht="15" customHeight="1" x14ac:dyDescent="0.45">
      <c r="A182" s="82"/>
      <c r="B182"/>
      <c r="C182" s="77"/>
      <c r="D182"/>
    </row>
    <row r="183" spans="1:4" ht="15" customHeight="1" x14ac:dyDescent="0.45">
      <c r="A183" s="82"/>
      <c r="B183"/>
      <c r="C183" s="77"/>
      <c r="D183"/>
    </row>
    <row r="184" spans="1:4" ht="15" customHeight="1" x14ac:dyDescent="0.45">
      <c r="A184" s="82"/>
      <c r="B184"/>
      <c r="C184" s="77"/>
      <c r="D184"/>
    </row>
    <row r="185" spans="1:4" ht="15" customHeight="1" x14ac:dyDescent="0.45">
      <c r="A185" s="82"/>
      <c r="B185"/>
      <c r="C185" s="77"/>
      <c r="D185"/>
    </row>
    <row r="186" spans="1:4" ht="15" customHeight="1" x14ac:dyDescent="0.45">
      <c r="A186" s="82"/>
      <c r="B186"/>
      <c r="C186" s="77"/>
      <c r="D186"/>
    </row>
    <row r="187" spans="1:4" ht="15" customHeight="1" x14ac:dyDescent="0.45">
      <c r="A187" s="82"/>
      <c r="B187"/>
      <c r="C187" s="77"/>
      <c r="D187"/>
    </row>
    <row r="188" spans="1:4" ht="15" customHeight="1" x14ac:dyDescent="0.45">
      <c r="A188" s="82"/>
      <c r="B188"/>
      <c r="C188" s="77"/>
      <c r="D188"/>
    </row>
    <row r="189" spans="1:4" ht="15" customHeight="1" x14ac:dyDescent="0.45">
      <c r="A189" s="82"/>
      <c r="B189"/>
      <c r="C189"/>
      <c r="D189"/>
    </row>
    <row r="190" spans="1:4" ht="15" customHeight="1" x14ac:dyDescent="0.45">
      <c r="A190" s="82"/>
      <c r="B190"/>
      <c r="C190"/>
      <c r="D190"/>
    </row>
    <row r="191" spans="1:4" ht="15" customHeight="1" x14ac:dyDescent="0.45">
      <c r="A191" s="82"/>
      <c r="B191"/>
      <c r="C191"/>
      <c r="D191"/>
    </row>
    <row r="192" spans="1:4" ht="15" customHeight="1" x14ac:dyDescent="0.45">
      <c r="A192" s="82"/>
      <c r="B192"/>
      <c r="C192"/>
      <c r="D192"/>
    </row>
    <row r="193" spans="1:4" ht="15" customHeight="1" x14ac:dyDescent="0.45">
      <c r="A193" s="82"/>
      <c r="B193"/>
      <c r="C193"/>
      <c r="D193"/>
    </row>
    <row r="194" spans="1:4" ht="15" customHeight="1" x14ac:dyDescent="0.45">
      <c r="A194" s="82"/>
      <c r="B194"/>
      <c r="C194"/>
      <c r="D194"/>
    </row>
    <row r="195" spans="1:4" ht="15" customHeight="1" x14ac:dyDescent="0.45">
      <c r="A195" s="82"/>
      <c r="B195"/>
      <c r="C195"/>
      <c r="D195"/>
    </row>
    <row r="196" spans="1:4" ht="15" customHeight="1" x14ac:dyDescent="0.45">
      <c r="A196" s="82"/>
      <c r="B196"/>
      <c r="C196"/>
      <c r="D196"/>
    </row>
    <row r="197" spans="1:4" ht="15" customHeight="1" x14ac:dyDescent="0.45">
      <c r="A197" s="82"/>
      <c r="B197"/>
      <c r="C197"/>
      <c r="D197"/>
    </row>
    <row r="198" spans="1:4" ht="15" customHeight="1" x14ac:dyDescent="0.45">
      <c r="A198" s="82"/>
      <c r="B198"/>
      <c r="C198"/>
      <c r="D198"/>
    </row>
    <row r="199" spans="1:4" ht="15" customHeight="1" x14ac:dyDescent="0.45">
      <c r="A199" s="82"/>
      <c r="B199"/>
      <c r="C199"/>
      <c r="D199"/>
    </row>
    <row r="200" spans="1:4" ht="15" customHeight="1" x14ac:dyDescent="0.45">
      <c r="A200" s="82"/>
      <c r="B200"/>
      <c r="C200"/>
      <c r="D200"/>
    </row>
    <row r="201" spans="1:4" ht="15" customHeight="1" x14ac:dyDescent="0.45">
      <c r="A201" s="82"/>
      <c r="B201"/>
      <c r="C201"/>
      <c r="D201"/>
    </row>
    <row r="202" spans="1:4" ht="15" customHeight="1" x14ac:dyDescent="0.45">
      <c r="A202" s="82"/>
      <c r="B202"/>
      <c r="C202"/>
      <c r="D202"/>
    </row>
    <row r="203" spans="1:4" ht="15" customHeight="1" x14ac:dyDescent="0.45">
      <c r="A203" s="82"/>
      <c r="B203"/>
      <c r="C203"/>
      <c r="D203"/>
    </row>
    <row r="204" spans="1:4" ht="15" customHeight="1" x14ac:dyDescent="0.45">
      <c r="A204" s="82"/>
      <c r="B204"/>
      <c r="C204"/>
      <c r="D204"/>
    </row>
    <row r="205" spans="1:4" ht="15" customHeight="1" x14ac:dyDescent="0.45">
      <c r="A205" s="82"/>
      <c r="B205"/>
      <c r="C205"/>
      <c r="D205"/>
    </row>
    <row r="206" spans="1:4" ht="15" customHeight="1" x14ac:dyDescent="0.45">
      <c r="A206" s="82"/>
      <c r="B206"/>
      <c r="C206"/>
      <c r="D206"/>
    </row>
    <row r="207" spans="1:4" ht="15" customHeight="1" x14ac:dyDescent="0.45">
      <c r="A207" s="82"/>
      <c r="B207"/>
      <c r="C207"/>
      <c r="D207"/>
    </row>
    <row r="208" spans="1:4" ht="15" customHeight="1" x14ac:dyDescent="0.45">
      <c r="A208" s="82"/>
      <c r="B208"/>
      <c r="C208"/>
      <c r="D208"/>
    </row>
    <row r="209" spans="1:4" ht="15" customHeight="1" x14ac:dyDescent="0.45">
      <c r="A209" s="82"/>
      <c r="B209"/>
      <c r="C209"/>
      <c r="D209"/>
    </row>
    <row r="210" spans="1:4" ht="15" customHeight="1" x14ac:dyDescent="0.45">
      <c r="A210" s="82"/>
      <c r="B210"/>
      <c r="C210"/>
      <c r="D210"/>
    </row>
    <row r="211" spans="1:4" ht="15" customHeight="1" x14ac:dyDescent="0.45">
      <c r="A211" s="82"/>
      <c r="B211"/>
      <c r="C211"/>
      <c r="D211"/>
    </row>
    <row r="212" spans="1:4" ht="15" customHeight="1" x14ac:dyDescent="0.45">
      <c r="A212" s="82"/>
      <c r="B212"/>
      <c r="C212"/>
      <c r="D212"/>
    </row>
    <row r="213" spans="1:4" ht="15" customHeight="1" x14ac:dyDescent="0.45">
      <c r="A213" s="82"/>
      <c r="B213"/>
      <c r="C213"/>
      <c r="D213"/>
    </row>
    <row r="214" spans="1:4" ht="15" customHeight="1" x14ac:dyDescent="0.45">
      <c r="A214" s="82"/>
      <c r="B214"/>
      <c r="C214"/>
      <c r="D214"/>
    </row>
    <row r="215" spans="1:4" ht="15" customHeight="1" x14ac:dyDescent="0.45">
      <c r="A215" s="82"/>
      <c r="B215"/>
      <c r="C215"/>
      <c r="D215"/>
    </row>
    <row r="216" spans="1:4" ht="15" customHeight="1" x14ac:dyDescent="0.45">
      <c r="A216" s="82"/>
      <c r="B216"/>
      <c r="C216"/>
      <c r="D216"/>
    </row>
    <row r="217" spans="1:4" ht="15" customHeight="1" x14ac:dyDescent="0.45">
      <c r="A217" s="82"/>
      <c r="B217"/>
      <c r="C217"/>
      <c r="D217"/>
    </row>
    <row r="218" spans="1:4" ht="15" customHeight="1" x14ac:dyDescent="0.45">
      <c r="A218" s="82"/>
      <c r="B218"/>
      <c r="C218"/>
      <c r="D218"/>
    </row>
    <row r="219" spans="1:4" ht="15" customHeight="1" x14ac:dyDescent="0.45">
      <c r="A219" s="82"/>
      <c r="B219"/>
      <c r="C219"/>
      <c r="D219"/>
    </row>
    <row r="220" spans="1:4" ht="15" customHeight="1" x14ac:dyDescent="0.45">
      <c r="A220" s="82"/>
      <c r="B220"/>
      <c r="C220"/>
      <c r="D220"/>
    </row>
    <row r="221" spans="1:4" ht="15" customHeight="1" x14ac:dyDescent="0.45">
      <c r="A221" s="82"/>
      <c r="B221"/>
      <c r="C221"/>
      <c r="D221"/>
    </row>
    <row r="222" spans="1:4" ht="15" customHeight="1" x14ac:dyDescent="0.45">
      <c r="A222" s="82"/>
      <c r="B222"/>
      <c r="C222"/>
      <c r="D222"/>
    </row>
    <row r="223" spans="1:4" ht="15" customHeight="1" x14ac:dyDescent="0.45">
      <c r="A223" s="82"/>
      <c r="B223"/>
      <c r="C223"/>
      <c r="D223"/>
    </row>
    <row r="224" spans="1:4" ht="15" customHeight="1" x14ac:dyDescent="0.45">
      <c r="A224" s="82"/>
      <c r="B224"/>
      <c r="C224"/>
      <c r="D224"/>
    </row>
    <row r="225" spans="1:4" ht="15" customHeight="1" x14ac:dyDescent="0.45">
      <c r="A225" s="82"/>
      <c r="B225"/>
      <c r="C225"/>
      <c r="D225"/>
    </row>
    <row r="226" spans="1:4" ht="15" customHeight="1" x14ac:dyDescent="0.45">
      <c r="A226" s="82"/>
      <c r="B226"/>
      <c r="C226"/>
      <c r="D226"/>
    </row>
    <row r="227" spans="1:4" ht="15" customHeight="1" x14ac:dyDescent="0.45">
      <c r="A227" s="82"/>
      <c r="B227"/>
      <c r="C227"/>
      <c r="D227"/>
    </row>
    <row r="228" spans="1:4" ht="15" customHeight="1" x14ac:dyDescent="0.45">
      <c r="A228" s="82"/>
      <c r="B228"/>
      <c r="C228"/>
      <c r="D228"/>
    </row>
    <row r="229" spans="1:4" ht="15" customHeight="1" x14ac:dyDescent="0.45">
      <c r="A229" s="82"/>
      <c r="B229"/>
      <c r="C229"/>
      <c r="D229"/>
    </row>
    <row r="230" spans="1:4" ht="15" customHeight="1" x14ac:dyDescent="0.45">
      <c r="A230" s="82"/>
      <c r="B230"/>
      <c r="C230"/>
      <c r="D230"/>
    </row>
    <row r="231" spans="1:4" ht="15" customHeight="1" x14ac:dyDescent="0.45">
      <c r="A231" s="82"/>
      <c r="B231"/>
      <c r="C231"/>
      <c r="D231"/>
    </row>
    <row r="232" spans="1:4" ht="15" customHeight="1" x14ac:dyDescent="0.45">
      <c r="A232" s="82"/>
      <c r="B232"/>
      <c r="C232"/>
      <c r="D232"/>
    </row>
    <row r="233" spans="1:4" ht="15" customHeight="1" x14ac:dyDescent="0.45">
      <c r="A233" s="82"/>
      <c r="B233"/>
      <c r="C233"/>
      <c r="D233"/>
    </row>
    <row r="234" spans="1:4" ht="15" customHeight="1" x14ac:dyDescent="0.45">
      <c r="A234" s="82"/>
      <c r="B234"/>
      <c r="C234"/>
      <c r="D234"/>
    </row>
    <row r="235" spans="1:4" ht="15" customHeight="1" x14ac:dyDescent="0.45">
      <c r="A235" s="82"/>
      <c r="B235"/>
      <c r="C235"/>
      <c r="D235"/>
    </row>
    <row r="236" spans="1:4" ht="15" customHeight="1" x14ac:dyDescent="0.45">
      <c r="A236" s="82"/>
      <c r="B236"/>
      <c r="C236"/>
      <c r="D236"/>
    </row>
    <row r="237" spans="1:4" ht="15" customHeight="1" x14ac:dyDescent="0.45">
      <c r="A237" s="82"/>
      <c r="B237"/>
      <c r="C237"/>
      <c r="D237"/>
    </row>
    <row r="238" spans="1:4" ht="15" customHeight="1" x14ac:dyDescent="0.45">
      <c r="A238" s="82"/>
      <c r="B238"/>
      <c r="C238"/>
      <c r="D238"/>
    </row>
    <row r="239" spans="1:4" ht="15" customHeight="1" x14ac:dyDescent="0.45">
      <c r="A239" s="82"/>
      <c r="B239"/>
      <c r="C239"/>
      <c r="D239"/>
    </row>
    <row r="240" spans="1:4" ht="15" customHeight="1" x14ac:dyDescent="0.45">
      <c r="A240" s="82"/>
      <c r="B240"/>
      <c r="C240"/>
      <c r="D240"/>
    </row>
    <row r="241" spans="1:4" ht="15" customHeight="1" x14ac:dyDescent="0.45">
      <c r="A241" s="82"/>
      <c r="B241"/>
      <c r="C241"/>
      <c r="D241"/>
    </row>
    <row r="242" spans="1:4" ht="15" customHeight="1" x14ac:dyDescent="0.45">
      <c r="A242" s="82"/>
      <c r="B242"/>
      <c r="C242"/>
      <c r="D242"/>
    </row>
    <row r="243" spans="1:4" ht="15" customHeight="1" x14ac:dyDescent="0.45">
      <c r="A243" s="82"/>
      <c r="B243"/>
      <c r="C243"/>
      <c r="D243"/>
    </row>
    <row r="244" spans="1:4" ht="15" customHeight="1" x14ac:dyDescent="0.45">
      <c r="A244" s="82"/>
      <c r="B244"/>
      <c r="C244"/>
      <c r="D244"/>
    </row>
    <row r="245" spans="1:4" ht="15" customHeight="1" x14ac:dyDescent="0.45">
      <c r="A245" s="82"/>
      <c r="B245"/>
      <c r="C245"/>
      <c r="D245"/>
    </row>
    <row r="246" spans="1:4" ht="15" customHeight="1" x14ac:dyDescent="0.45">
      <c r="A246" s="82"/>
      <c r="B246"/>
      <c r="C246"/>
      <c r="D246"/>
    </row>
    <row r="247" spans="1:4" ht="15" customHeight="1" x14ac:dyDescent="0.45">
      <c r="A247" s="82"/>
      <c r="B247"/>
      <c r="C247"/>
      <c r="D247"/>
    </row>
    <row r="248" spans="1:4" ht="15" customHeight="1" x14ac:dyDescent="0.45">
      <c r="A248" s="82"/>
      <c r="B248"/>
      <c r="C248"/>
      <c r="D248"/>
    </row>
    <row r="249" spans="1:4" ht="15" customHeight="1" x14ac:dyDescent="0.45">
      <c r="A249" s="82"/>
      <c r="B249"/>
      <c r="C249"/>
      <c r="D249"/>
    </row>
    <row r="250" spans="1:4" ht="15" customHeight="1" x14ac:dyDescent="0.45">
      <c r="A250" s="82"/>
      <c r="B250"/>
      <c r="C250"/>
      <c r="D250"/>
    </row>
    <row r="251" spans="1:4" ht="15" customHeight="1" x14ac:dyDescent="0.45">
      <c r="A251" s="82"/>
      <c r="B251"/>
      <c r="C251"/>
      <c r="D251"/>
    </row>
    <row r="252" spans="1:4" ht="15" customHeight="1" x14ac:dyDescent="0.45">
      <c r="A252" s="82"/>
      <c r="B252"/>
      <c r="C252"/>
      <c r="D252"/>
    </row>
    <row r="253" spans="1:4" ht="15" customHeight="1" x14ac:dyDescent="0.45">
      <c r="A253" s="82"/>
      <c r="B253"/>
      <c r="C253"/>
      <c r="D253"/>
    </row>
    <row r="254" spans="1:4" ht="15" customHeight="1" x14ac:dyDescent="0.45">
      <c r="A254" s="82"/>
      <c r="B254"/>
      <c r="C254"/>
      <c r="D254"/>
    </row>
    <row r="255" spans="1:4" ht="15" customHeight="1" x14ac:dyDescent="0.45">
      <c r="A255" s="82"/>
      <c r="B255"/>
      <c r="C255"/>
      <c r="D255"/>
    </row>
    <row r="256" spans="1:4" ht="15" customHeight="1" x14ac:dyDescent="0.45">
      <c r="A256" s="82"/>
      <c r="B256"/>
      <c r="C256"/>
      <c r="D256"/>
    </row>
    <row r="257" spans="1:4" ht="15" customHeight="1" x14ac:dyDescent="0.45">
      <c r="A257" s="82"/>
      <c r="B257"/>
      <c r="C257"/>
      <c r="D257"/>
    </row>
    <row r="258" spans="1:4" ht="15" customHeight="1" x14ac:dyDescent="0.45">
      <c r="A258" s="82"/>
      <c r="B258"/>
      <c r="C258"/>
      <c r="D258"/>
    </row>
    <row r="259" spans="1:4" ht="15" customHeight="1" x14ac:dyDescent="0.45">
      <c r="A259" s="82"/>
      <c r="B259"/>
      <c r="C259"/>
      <c r="D259"/>
    </row>
    <row r="260" spans="1:4" ht="15" customHeight="1" x14ac:dyDescent="0.45">
      <c r="A260" s="82"/>
      <c r="B260"/>
      <c r="C260"/>
      <c r="D260"/>
    </row>
    <row r="261" spans="1:4" ht="15" customHeight="1" x14ac:dyDescent="0.45">
      <c r="A261" s="82"/>
      <c r="B261"/>
      <c r="C261"/>
      <c r="D261"/>
    </row>
    <row r="262" spans="1:4" ht="15" customHeight="1" x14ac:dyDescent="0.45">
      <c r="A262" s="82"/>
      <c r="B262"/>
      <c r="C262"/>
      <c r="D262"/>
    </row>
    <row r="263" spans="1:4" ht="15" customHeight="1" x14ac:dyDescent="0.45">
      <c r="A263" s="82"/>
      <c r="B263"/>
      <c r="C263"/>
      <c r="D263"/>
    </row>
    <row r="264" spans="1:4" ht="15" customHeight="1" x14ac:dyDescent="0.45">
      <c r="A264" s="82"/>
      <c r="B264"/>
      <c r="C264"/>
      <c r="D264"/>
    </row>
    <row r="265" spans="1:4" ht="15" customHeight="1" x14ac:dyDescent="0.45">
      <c r="A265" s="82"/>
      <c r="B265"/>
      <c r="C265"/>
      <c r="D265"/>
    </row>
    <row r="266" spans="1:4" ht="15" customHeight="1" x14ac:dyDescent="0.45">
      <c r="A266" s="82"/>
      <c r="B266"/>
      <c r="C266"/>
      <c r="D266"/>
    </row>
    <row r="267" spans="1:4" ht="15" customHeight="1" x14ac:dyDescent="0.45">
      <c r="A267" s="82"/>
      <c r="B267"/>
      <c r="C267"/>
      <c r="D267"/>
    </row>
    <row r="268" spans="1:4" ht="15" customHeight="1" x14ac:dyDescent="0.45">
      <c r="A268" s="82"/>
      <c r="B268"/>
      <c r="C268"/>
      <c r="D268"/>
    </row>
    <row r="269" spans="1:4" ht="15" customHeight="1" x14ac:dyDescent="0.45">
      <c r="A269" s="82"/>
      <c r="B269"/>
      <c r="C269"/>
      <c r="D269"/>
    </row>
    <row r="270" spans="1:4" ht="15" customHeight="1" x14ac:dyDescent="0.45">
      <c r="A270" s="82"/>
      <c r="B270"/>
      <c r="C270"/>
      <c r="D270"/>
    </row>
    <row r="271" spans="1:4" ht="15" customHeight="1" x14ac:dyDescent="0.45">
      <c r="A271" s="82"/>
      <c r="B271"/>
      <c r="C271"/>
      <c r="D271"/>
    </row>
    <row r="272" spans="1:4" ht="15" customHeight="1" x14ac:dyDescent="0.45">
      <c r="A272" s="82"/>
      <c r="B272"/>
      <c r="C272"/>
      <c r="D272"/>
    </row>
    <row r="273" spans="1:4" ht="15" customHeight="1" x14ac:dyDescent="0.45">
      <c r="A273" s="82"/>
      <c r="B273"/>
      <c r="C273"/>
      <c r="D273"/>
    </row>
    <row r="274" spans="1:4" ht="15" customHeight="1" x14ac:dyDescent="0.45">
      <c r="A274" s="82"/>
      <c r="B274"/>
      <c r="C274"/>
      <c r="D274"/>
    </row>
    <row r="275" spans="1:4" ht="15" customHeight="1" x14ac:dyDescent="0.45">
      <c r="A275" s="82"/>
      <c r="B275"/>
      <c r="C275"/>
      <c r="D275"/>
    </row>
    <row r="276" spans="1:4" ht="15" customHeight="1" x14ac:dyDescent="0.45">
      <c r="A276" s="82"/>
      <c r="B276"/>
      <c r="C276"/>
      <c r="D276"/>
    </row>
    <row r="277" spans="1:4" ht="15" customHeight="1" x14ac:dyDescent="0.45">
      <c r="A277" s="82"/>
      <c r="B277"/>
      <c r="C277"/>
      <c r="D277"/>
    </row>
    <row r="278" spans="1:4" ht="15" customHeight="1" x14ac:dyDescent="0.45">
      <c r="A278" s="82"/>
      <c r="B278"/>
      <c r="C278"/>
      <c r="D278"/>
    </row>
    <row r="279" spans="1:4" ht="15" customHeight="1" x14ac:dyDescent="0.45">
      <c r="A279" s="82"/>
      <c r="B279"/>
      <c r="C279"/>
      <c r="D279"/>
    </row>
    <row r="280" spans="1:4" ht="15" customHeight="1" x14ac:dyDescent="0.45">
      <c r="A280" s="82"/>
      <c r="B280"/>
      <c r="C280"/>
      <c r="D280"/>
    </row>
    <row r="281" spans="1:4" ht="15" customHeight="1" x14ac:dyDescent="0.45">
      <c r="A281" s="82"/>
      <c r="B281"/>
      <c r="C281"/>
      <c r="D281"/>
    </row>
    <row r="282" spans="1:4" ht="15" customHeight="1" x14ac:dyDescent="0.45">
      <c r="A282" s="82"/>
      <c r="B282"/>
      <c r="C282"/>
      <c r="D282"/>
    </row>
    <row r="283" spans="1:4" ht="15" customHeight="1" x14ac:dyDescent="0.45">
      <c r="A283" s="82"/>
      <c r="B283"/>
      <c r="C283"/>
      <c r="D283"/>
    </row>
    <row r="284" spans="1:4" ht="15" customHeight="1" x14ac:dyDescent="0.45">
      <c r="A284" s="82"/>
      <c r="B284"/>
      <c r="C284"/>
      <c r="D284"/>
    </row>
    <row r="285" spans="1:4" ht="15" customHeight="1" x14ac:dyDescent="0.45">
      <c r="A285" s="82"/>
      <c r="B285"/>
      <c r="C285"/>
      <c r="D285"/>
    </row>
    <row r="286" spans="1:4" ht="15" customHeight="1" x14ac:dyDescent="0.45">
      <c r="A286" s="82"/>
      <c r="B286"/>
      <c r="C286"/>
      <c r="D286"/>
    </row>
    <row r="287" spans="1:4" ht="15" customHeight="1" x14ac:dyDescent="0.45">
      <c r="A287" s="82"/>
      <c r="B287"/>
      <c r="C287"/>
      <c r="D287"/>
    </row>
    <row r="288" spans="1:4" ht="15" customHeight="1" x14ac:dyDescent="0.45">
      <c r="A288" s="82"/>
      <c r="B288"/>
      <c r="C288"/>
      <c r="D288"/>
    </row>
    <row r="289" spans="1:4" ht="15" customHeight="1" x14ac:dyDescent="0.45">
      <c r="A289" s="82"/>
      <c r="B289"/>
      <c r="C289"/>
      <c r="D289"/>
    </row>
    <row r="290" spans="1:4" ht="15" customHeight="1" x14ac:dyDescent="0.45">
      <c r="A290" s="82"/>
      <c r="B290"/>
      <c r="C290"/>
      <c r="D290"/>
    </row>
    <row r="291" spans="1:4" ht="15" customHeight="1" x14ac:dyDescent="0.45">
      <c r="A291" s="82"/>
      <c r="B291"/>
      <c r="C291"/>
      <c r="D291"/>
    </row>
    <row r="292" spans="1:4" ht="15" customHeight="1" x14ac:dyDescent="0.45">
      <c r="A292" s="82"/>
      <c r="B292"/>
      <c r="C292"/>
      <c r="D292"/>
    </row>
    <row r="293" spans="1:4" ht="15" customHeight="1" x14ac:dyDescent="0.45">
      <c r="A293" s="82"/>
      <c r="B293"/>
      <c r="C293"/>
      <c r="D293"/>
    </row>
    <row r="294" spans="1:4" ht="15" customHeight="1" x14ac:dyDescent="0.45">
      <c r="A294" s="82"/>
      <c r="B294"/>
      <c r="C294"/>
      <c r="D294"/>
    </row>
    <row r="295" spans="1:4" ht="15" customHeight="1" x14ac:dyDescent="0.45">
      <c r="A295" s="82"/>
      <c r="B295"/>
      <c r="C295"/>
      <c r="D295"/>
    </row>
    <row r="296" spans="1:4" ht="15" customHeight="1" x14ac:dyDescent="0.45">
      <c r="A296" s="82"/>
      <c r="B296"/>
      <c r="C296"/>
      <c r="D296"/>
    </row>
    <row r="297" spans="1:4" ht="15" customHeight="1" x14ac:dyDescent="0.45">
      <c r="A297" s="82"/>
      <c r="B297"/>
      <c r="C297"/>
      <c r="D297"/>
    </row>
    <row r="298" spans="1:4" ht="15" customHeight="1" x14ac:dyDescent="0.45">
      <c r="A298" s="82"/>
      <c r="B298"/>
      <c r="C298"/>
      <c r="D298"/>
    </row>
    <row r="299" spans="1:4" ht="15" customHeight="1" x14ac:dyDescent="0.45">
      <c r="A299" s="82"/>
      <c r="B299"/>
      <c r="C299"/>
      <c r="D299"/>
    </row>
    <row r="300" spans="1:4" ht="15" customHeight="1" x14ac:dyDescent="0.45">
      <c r="A300" s="82"/>
      <c r="B300"/>
      <c r="C300"/>
      <c r="D300"/>
    </row>
    <row r="301" spans="1:4" ht="15" customHeight="1" x14ac:dyDescent="0.45">
      <c r="A301" s="82"/>
      <c r="B301"/>
      <c r="C301"/>
      <c r="D301"/>
    </row>
    <row r="302" spans="1:4" ht="15" customHeight="1" x14ac:dyDescent="0.45">
      <c r="A302" s="82"/>
      <c r="B302"/>
      <c r="C302"/>
      <c r="D302"/>
    </row>
    <row r="303" spans="1:4" ht="15" customHeight="1" x14ac:dyDescent="0.45">
      <c r="A303" s="82"/>
      <c r="B303"/>
      <c r="C303"/>
      <c r="D303"/>
    </row>
    <row r="304" spans="1:4" ht="15" customHeight="1" x14ac:dyDescent="0.45">
      <c r="A304" s="82"/>
      <c r="B304"/>
      <c r="C304"/>
      <c r="D304"/>
    </row>
    <row r="305" spans="1:4" ht="15" customHeight="1" x14ac:dyDescent="0.45">
      <c r="A305" s="82"/>
      <c r="B305"/>
      <c r="C305"/>
      <c r="D305"/>
    </row>
    <row r="306" spans="1:4" ht="15" customHeight="1" x14ac:dyDescent="0.45">
      <c r="A306" s="82"/>
      <c r="B306"/>
      <c r="C306"/>
      <c r="D306"/>
    </row>
    <row r="307" spans="1:4" ht="15" customHeight="1" x14ac:dyDescent="0.45">
      <c r="A307" s="82"/>
      <c r="B307"/>
      <c r="C307"/>
      <c r="D307"/>
    </row>
    <row r="308" spans="1:4" ht="15" customHeight="1" x14ac:dyDescent="0.45">
      <c r="A308" s="82"/>
      <c r="B308"/>
      <c r="C308"/>
      <c r="D308"/>
    </row>
    <row r="309" spans="1:4" ht="15" customHeight="1" x14ac:dyDescent="0.45">
      <c r="A309" s="82"/>
      <c r="B309"/>
      <c r="C309"/>
      <c r="D309"/>
    </row>
    <row r="310" spans="1:4" ht="15" customHeight="1" x14ac:dyDescent="0.45">
      <c r="A310" s="82"/>
      <c r="B310"/>
      <c r="C310"/>
      <c r="D310"/>
    </row>
    <row r="311" spans="1:4" ht="15" customHeight="1" x14ac:dyDescent="0.45">
      <c r="A311" s="82"/>
      <c r="B311"/>
      <c r="C311"/>
      <c r="D311"/>
    </row>
    <row r="312" spans="1:4" ht="15" customHeight="1" x14ac:dyDescent="0.45">
      <c r="A312" s="82"/>
      <c r="B312"/>
      <c r="C312"/>
      <c r="D312"/>
    </row>
    <row r="313" spans="1:4" ht="15" customHeight="1" x14ac:dyDescent="0.45">
      <c r="A313" s="82"/>
      <c r="B313"/>
      <c r="C313"/>
      <c r="D313"/>
    </row>
    <row r="314" spans="1:4" ht="15" customHeight="1" x14ac:dyDescent="0.45">
      <c r="A314" s="82"/>
      <c r="B314"/>
      <c r="C314"/>
      <c r="D314"/>
    </row>
    <row r="315" spans="1:4" ht="15" customHeight="1" x14ac:dyDescent="0.45">
      <c r="A315" s="82"/>
      <c r="B315"/>
      <c r="C315"/>
      <c r="D315"/>
    </row>
    <row r="316" spans="1:4" ht="15" customHeight="1" x14ac:dyDescent="0.45">
      <c r="A316" s="82"/>
      <c r="B316"/>
      <c r="C316"/>
      <c r="D316"/>
    </row>
    <row r="317" spans="1:4" ht="15" customHeight="1" x14ac:dyDescent="0.45">
      <c r="A317" s="82"/>
      <c r="B317"/>
      <c r="C317"/>
      <c r="D317"/>
    </row>
    <row r="318" spans="1:4" ht="15" customHeight="1" x14ac:dyDescent="0.45">
      <c r="A318" s="82"/>
      <c r="B318"/>
      <c r="C318"/>
      <c r="D318"/>
    </row>
    <row r="319" spans="1:4" ht="15" customHeight="1" x14ac:dyDescent="0.45">
      <c r="A319" s="82"/>
      <c r="B319"/>
      <c r="C319"/>
      <c r="D319"/>
    </row>
    <row r="320" spans="1:4" ht="15" customHeight="1" x14ac:dyDescent="0.45">
      <c r="A320" s="82"/>
      <c r="B320"/>
      <c r="C320"/>
      <c r="D320"/>
    </row>
    <row r="321" spans="1:4" ht="15" customHeight="1" x14ac:dyDescent="0.45">
      <c r="A321" s="82"/>
      <c r="B321"/>
      <c r="C321"/>
      <c r="D321"/>
    </row>
    <row r="322" spans="1:4" ht="15" customHeight="1" x14ac:dyDescent="0.45">
      <c r="A322" s="82"/>
      <c r="B322"/>
      <c r="C322"/>
      <c r="D322"/>
    </row>
    <row r="323" spans="1:4" ht="15" customHeight="1" x14ac:dyDescent="0.45">
      <c r="A323" s="82"/>
      <c r="B323"/>
      <c r="C323"/>
      <c r="D323"/>
    </row>
    <row r="324" spans="1:4" ht="15" customHeight="1" x14ac:dyDescent="0.45">
      <c r="A324" s="82"/>
      <c r="B324"/>
      <c r="C324"/>
      <c r="D324"/>
    </row>
    <row r="325" spans="1:4" ht="15" customHeight="1" x14ac:dyDescent="0.45">
      <c r="A325" s="82"/>
      <c r="B325"/>
      <c r="C325"/>
      <c r="D325"/>
    </row>
    <row r="326" spans="1:4" ht="15" customHeight="1" x14ac:dyDescent="0.45">
      <c r="A326" s="82"/>
      <c r="B326"/>
      <c r="C326"/>
      <c r="D326"/>
    </row>
    <row r="327" spans="1:4" ht="15" customHeight="1" x14ac:dyDescent="0.45">
      <c r="A327" s="82"/>
      <c r="B327"/>
      <c r="C327"/>
      <c r="D327"/>
    </row>
    <row r="328" spans="1:4" ht="15" customHeight="1" x14ac:dyDescent="0.45">
      <c r="A328" s="82"/>
      <c r="B328"/>
      <c r="C328"/>
      <c r="D328"/>
    </row>
    <row r="329" spans="1:4" ht="15" customHeight="1" x14ac:dyDescent="0.45">
      <c r="A329" s="82"/>
      <c r="B329"/>
      <c r="C329"/>
      <c r="D329"/>
    </row>
    <row r="330" spans="1:4" ht="15" customHeight="1" x14ac:dyDescent="0.45">
      <c r="A330" s="82"/>
      <c r="B330"/>
      <c r="C330"/>
      <c r="D330"/>
    </row>
    <row r="331" spans="1:4" ht="15" customHeight="1" x14ac:dyDescent="0.45">
      <c r="A331" s="82"/>
      <c r="B331"/>
      <c r="C331"/>
      <c r="D331"/>
    </row>
    <row r="332" spans="1:4" ht="15" customHeight="1" x14ac:dyDescent="0.45">
      <c r="A332" s="82"/>
      <c r="B332"/>
      <c r="C332"/>
      <c r="D332"/>
    </row>
    <row r="333" spans="1:4" ht="15" customHeight="1" x14ac:dyDescent="0.45">
      <c r="A333" s="82"/>
      <c r="B333"/>
      <c r="C333"/>
      <c r="D333"/>
    </row>
    <row r="334" spans="1:4" ht="15" customHeight="1" x14ac:dyDescent="0.45">
      <c r="A334" s="82"/>
      <c r="B334"/>
      <c r="C334"/>
      <c r="D334"/>
    </row>
    <row r="335" spans="1:4" ht="15" customHeight="1" x14ac:dyDescent="0.45">
      <c r="A335" s="82"/>
      <c r="B335"/>
      <c r="C335"/>
      <c r="D335"/>
    </row>
    <row r="336" spans="1:4" ht="15" customHeight="1" x14ac:dyDescent="0.45">
      <c r="A336" s="82"/>
      <c r="B336"/>
      <c r="C336"/>
      <c r="D336"/>
    </row>
    <row r="337" spans="1:4" ht="15" customHeight="1" x14ac:dyDescent="0.45">
      <c r="A337" s="82"/>
      <c r="B337"/>
      <c r="C337"/>
      <c r="D337"/>
    </row>
    <row r="338" spans="1:4" ht="15" customHeight="1" x14ac:dyDescent="0.45">
      <c r="A338" s="82"/>
      <c r="B338"/>
      <c r="C338"/>
      <c r="D338"/>
    </row>
    <row r="339" spans="1:4" ht="15" customHeight="1" x14ac:dyDescent="0.45">
      <c r="A339" s="82"/>
      <c r="B339"/>
      <c r="C339"/>
      <c r="D339"/>
    </row>
    <row r="340" spans="1:4" ht="15" customHeight="1" x14ac:dyDescent="0.45">
      <c r="A340" s="82"/>
      <c r="B340"/>
      <c r="C340"/>
      <c r="D340"/>
    </row>
    <row r="341" spans="1:4" ht="15" customHeight="1" x14ac:dyDescent="0.45">
      <c r="A341" s="82"/>
      <c r="B341"/>
      <c r="C341"/>
      <c r="D341"/>
    </row>
    <row r="342" spans="1:4" ht="15" customHeight="1" x14ac:dyDescent="0.45">
      <c r="A342" s="82"/>
      <c r="B342"/>
      <c r="C342"/>
      <c r="D342"/>
    </row>
    <row r="343" spans="1:4" ht="15" customHeight="1" x14ac:dyDescent="0.45">
      <c r="A343" s="82"/>
      <c r="B343"/>
      <c r="C343"/>
      <c r="D343"/>
    </row>
    <row r="344" spans="1:4" ht="15" customHeight="1" x14ac:dyDescent="0.45">
      <c r="A344" s="82"/>
      <c r="B344"/>
      <c r="C344"/>
      <c r="D344"/>
    </row>
    <row r="345" spans="1:4" ht="15" customHeight="1" x14ac:dyDescent="0.45">
      <c r="A345" s="82"/>
      <c r="B345"/>
      <c r="C345"/>
      <c r="D345"/>
    </row>
    <row r="346" spans="1:4" ht="15" customHeight="1" x14ac:dyDescent="0.45">
      <c r="A346" s="82"/>
      <c r="B346"/>
      <c r="C346"/>
      <c r="D346"/>
    </row>
    <row r="347" spans="1:4" ht="15" customHeight="1" x14ac:dyDescent="0.45">
      <c r="A347" s="82"/>
      <c r="B347"/>
      <c r="C347"/>
      <c r="D347"/>
    </row>
    <row r="348" spans="1:4" ht="15" customHeight="1" x14ac:dyDescent="0.45">
      <c r="A348" s="82"/>
      <c r="B348"/>
      <c r="C348"/>
      <c r="D348"/>
    </row>
    <row r="349" spans="1:4" ht="15" customHeight="1" x14ac:dyDescent="0.45">
      <c r="A349" s="82"/>
      <c r="B349"/>
      <c r="C349"/>
      <c r="D349"/>
    </row>
    <row r="350" spans="1:4" ht="15" customHeight="1" x14ac:dyDescent="0.45">
      <c r="A350" s="82"/>
      <c r="B350"/>
      <c r="C350"/>
      <c r="D350"/>
    </row>
    <row r="351" spans="1:4" ht="15" customHeight="1" x14ac:dyDescent="0.45">
      <c r="A351" s="82"/>
      <c r="B351"/>
      <c r="C351"/>
      <c r="D351"/>
    </row>
    <row r="352" spans="1:4" ht="15" customHeight="1" x14ac:dyDescent="0.45">
      <c r="A352" s="82"/>
      <c r="B352"/>
      <c r="C352"/>
      <c r="D352"/>
    </row>
    <row r="353" spans="1:4" ht="15" customHeight="1" x14ac:dyDescent="0.45">
      <c r="A353" s="82"/>
      <c r="B353"/>
      <c r="C353"/>
      <c r="D353"/>
    </row>
    <row r="354" spans="1:4" ht="15" customHeight="1" x14ac:dyDescent="0.45">
      <c r="A354" s="82"/>
      <c r="B354"/>
      <c r="C354"/>
      <c r="D354"/>
    </row>
    <row r="355" spans="1:4" ht="15" customHeight="1" x14ac:dyDescent="0.45">
      <c r="A355" s="82"/>
      <c r="B355"/>
      <c r="C355"/>
      <c r="D355"/>
    </row>
    <row r="356" spans="1:4" ht="15" customHeight="1" x14ac:dyDescent="0.45">
      <c r="A356" s="82"/>
      <c r="B356"/>
      <c r="C356"/>
      <c r="D356"/>
    </row>
    <row r="357" spans="1:4" ht="15" customHeight="1" x14ac:dyDescent="0.45">
      <c r="A357" s="82"/>
      <c r="B357"/>
      <c r="C357"/>
      <c r="D357"/>
    </row>
    <row r="358" spans="1:4" ht="15" customHeight="1" x14ac:dyDescent="0.45">
      <c r="A358" s="82"/>
      <c r="B358"/>
      <c r="C358"/>
      <c r="D358"/>
    </row>
    <row r="359" spans="1:4" ht="15" customHeight="1" x14ac:dyDescent="0.45">
      <c r="A359" s="82"/>
      <c r="B359"/>
      <c r="C359"/>
      <c r="D359"/>
    </row>
    <row r="360" spans="1:4" ht="15" customHeight="1" x14ac:dyDescent="0.45">
      <c r="A360" s="82"/>
      <c r="B360"/>
      <c r="C360"/>
      <c r="D360"/>
    </row>
    <row r="361" spans="1:4" ht="15" customHeight="1" x14ac:dyDescent="0.45">
      <c r="A361" s="82"/>
      <c r="B361"/>
      <c r="C361"/>
      <c r="D361"/>
    </row>
    <row r="362" spans="1:4" ht="15" customHeight="1" x14ac:dyDescent="0.45">
      <c r="A362" s="82"/>
      <c r="B362"/>
      <c r="C362"/>
      <c r="D362"/>
    </row>
    <row r="363" spans="1:4" ht="15" customHeight="1" x14ac:dyDescent="0.45">
      <c r="A363" s="82"/>
      <c r="B363"/>
      <c r="C363"/>
      <c r="D363"/>
    </row>
    <row r="364" spans="1:4" ht="15" customHeight="1" x14ac:dyDescent="0.45">
      <c r="A364" s="82"/>
      <c r="B364"/>
      <c r="C364"/>
      <c r="D364"/>
    </row>
    <row r="365" spans="1:4" ht="15" customHeight="1" x14ac:dyDescent="0.45">
      <c r="A365" s="82"/>
      <c r="B365"/>
      <c r="C365"/>
      <c r="D365"/>
    </row>
    <row r="366" spans="1:4" ht="15" customHeight="1" x14ac:dyDescent="0.45">
      <c r="A366" s="82"/>
      <c r="B366"/>
      <c r="C366"/>
      <c r="D366"/>
    </row>
    <row r="367" spans="1:4" ht="15" customHeight="1" x14ac:dyDescent="0.45">
      <c r="A367" s="82"/>
      <c r="B367"/>
      <c r="C367"/>
      <c r="D367"/>
    </row>
    <row r="368" spans="1:4" ht="15" customHeight="1" x14ac:dyDescent="0.45">
      <c r="A368" s="82"/>
      <c r="B368"/>
      <c r="C368"/>
      <c r="D368"/>
    </row>
    <row r="369" spans="1:4" ht="15" customHeight="1" x14ac:dyDescent="0.45">
      <c r="A369" s="82"/>
      <c r="B369"/>
      <c r="C369"/>
      <c r="D369"/>
    </row>
    <row r="370" spans="1:4" ht="15" customHeight="1" x14ac:dyDescent="0.45">
      <c r="A370" s="82"/>
      <c r="B370"/>
      <c r="C370"/>
      <c r="D370"/>
    </row>
    <row r="371" spans="1:4" ht="15" customHeight="1" x14ac:dyDescent="0.45">
      <c r="A371" s="82"/>
      <c r="B371"/>
      <c r="C371"/>
      <c r="D371"/>
    </row>
    <row r="372" spans="1:4" ht="15" customHeight="1" x14ac:dyDescent="0.45">
      <c r="A372" s="82"/>
      <c r="B372"/>
      <c r="C372"/>
      <c r="D372"/>
    </row>
    <row r="373" spans="1:4" ht="15" customHeight="1" x14ac:dyDescent="0.45">
      <c r="A373" s="82"/>
      <c r="B373"/>
      <c r="C373"/>
      <c r="D373"/>
    </row>
    <row r="374" spans="1:4" ht="15" customHeight="1" x14ac:dyDescent="0.45">
      <c r="A374" s="82"/>
      <c r="B374"/>
      <c r="C374"/>
      <c r="D374"/>
    </row>
    <row r="375" spans="1:4" ht="15" customHeight="1" x14ac:dyDescent="0.45">
      <c r="A375" s="82"/>
      <c r="B375"/>
      <c r="C375"/>
      <c r="D375"/>
    </row>
    <row r="376" spans="1:4" ht="15" customHeight="1" x14ac:dyDescent="0.45">
      <c r="A376" s="82"/>
      <c r="B376"/>
      <c r="C376"/>
      <c r="D376"/>
    </row>
    <row r="377" spans="1:4" ht="15" customHeight="1" x14ac:dyDescent="0.45">
      <c r="A377" s="82"/>
      <c r="B377"/>
      <c r="C377"/>
      <c r="D377"/>
    </row>
    <row r="378" spans="1:4" ht="15" customHeight="1" x14ac:dyDescent="0.45">
      <c r="A378" s="82"/>
      <c r="B378"/>
      <c r="C378"/>
      <c r="D378"/>
    </row>
    <row r="379" spans="1:4" ht="15" customHeight="1" x14ac:dyDescent="0.45">
      <c r="A379" s="82"/>
      <c r="B379"/>
      <c r="C379"/>
      <c r="D379"/>
    </row>
    <row r="380" spans="1:4" ht="15" customHeight="1" x14ac:dyDescent="0.45">
      <c r="A380" s="82"/>
      <c r="B380"/>
      <c r="C380"/>
      <c r="D380"/>
    </row>
    <row r="381" spans="1:4" ht="15" customHeight="1" x14ac:dyDescent="0.45">
      <c r="A381" s="82"/>
      <c r="B381"/>
      <c r="C381"/>
      <c r="D381"/>
    </row>
    <row r="382" spans="1:4" ht="15" customHeight="1" x14ac:dyDescent="0.45">
      <c r="A382" s="82"/>
      <c r="B382"/>
      <c r="C382"/>
      <c r="D382"/>
    </row>
    <row r="383" spans="1:4" ht="15" customHeight="1" x14ac:dyDescent="0.45">
      <c r="A383" s="82"/>
      <c r="B383"/>
      <c r="C383"/>
      <c r="D383"/>
    </row>
    <row r="384" spans="1:4" ht="15" customHeight="1" x14ac:dyDescent="0.45">
      <c r="A384" s="82"/>
      <c r="B384"/>
      <c r="C384"/>
      <c r="D384"/>
    </row>
    <row r="385" spans="1:4" ht="15" customHeight="1" x14ac:dyDescent="0.45">
      <c r="A385" s="82"/>
      <c r="B385"/>
      <c r="C385"/>
      <c r="D385"/>
    </row>
    <row r="386" spans="1:4" ht="15" customHeight="1" x14ac:dyDescent="0.45">
      <c r="A386" s="82"/>
      <c r="B386"/>
      <c r="C386"/>
      <c r="D386"/>
    </row>
    <row r="387" spans="1:4" ht="15" customHeight="1" x14ac:dyDescent="0.45">
      <c r="A387" s="82"/>
      <c r="B387"/>
      <c r="C387"/>
      <c r="D387"/>
    </row>
    <row r="388" spans="1:4" ht="15" customHeight="1" x14ac:dyDescent="0.45">
      <c r="A388" s="82"/>
      <c r="B388"/>
      <c r="C388"/>
      <c r="D388"/>
    </row>
    <row r="389" spans="1:4" ht="15" customHeight="1" x14ac:dyDescent="0.45">
      <c r="A389" s="82"/>
      <c r="B389"/>
      <c r="C389"/>
      <c r="D389"/>
    </row>
    <row r="390" spans="1:4" ht="15" customHeight="1" x14ac:dyDescent="0.45">
      <c r="A390" s="82"/>
      <c r="B390"/>
      <c r="C390"/>
      <c r="D390"/>
    </row>
    <row r="391" spans="1:4" ht="15" customHeight="1" x14ac:dyDescent="0.45">
      <c r="A391" s="82"/>
      <c r="B391"/>
      <c r="C391"/>
      <c r="D391"/>
    </row>
    <row r="392" spans="1:4" ht="15" customHeight="1" x14ac:dyDescent="0.45">
      <c r="A392" s="82"/>
      <c r="B392"/>
      <c r="C392"/>
      <c r="D392"/>
    </row>
    <row r="393" spans="1:4" ht="15" customHeight="1" x14ac:dyDescent="0.45">
      <c r="A393" s="82"/>
      <c r="B393"/>
      <c r="C393"/>
      <c r="D393"/>
    </row>
    <row r="394" spans="1:4" ht="15" customHeight="1" x14ac:dyDescent="0.45">
      <c r="A394" s="82"/>
      <c r="B394"/>
      <c r="C394"/>
      <c r="D394"/>
    </row>
    <row r="395" spans="1:4" ht="15" customHeight="1" x14ac:dyDescent="0.45">
      <c r="A395" s="82"/>
      <c r="B395"/>
      <c r="C395"/>
      <c r="D395"/>
    </row>
    <row r="396" spans="1:4" ht="15" customHeight="1" x14ac:dyDescent="0.45">
      <c r="A396" s="82"/>
      <c r="B396"/>
      <c r="C396"/>
      <c r="D396"/>
    </row>
    <row r="397" spans="1:4" ht="15" customHeight="1" x14ac:dyDescent="0.45">
      <c r="A397" s="82"/>
      <c r="B397"/>
      <c r="C397"/>
      <c r="D397"/>
    </row>
    <row r="398" spans="1:4" ht="15" customHeight="1" x14ac:dyDescent="0.45">
      <c r="A398" s="82"/>
      <c r="B398"/>
      <c r="C398"/>
      <c r="D398"/>
    </row>
    <row r="399" spans="1:4" ht="15" customHeight="1" x14ac:dyDescent="0.45">
      <c r="A399" s="82"/>
      <c r="B399"/>
      <c r="C399"/>
      <c r="D399"/>
    </row>
    <row r="400" spans="1:4" ht="15" customHeight="1" x14ac:dyDescent="0.45">
      <c r="A400" s="82"/>
      <c r="B400"/>
      <c r="C400"/>
      <c r="D400"/>
    </row>
    <row r="401" spans="1:4" ht="15" customHeight="1" x14ac:dyDescent="0.45">
      <c r="A401" s="82"/>
      <c r="B401"/>
      <c r="C401"/>
      <c r="D401"/>
    </row>
    <row r="402" spans="1:4" ht="15" customHeight="1" x14ac:dyDescent="0.45">
      <c r="A402" s="82"/>
      <c r="B402"/>
      <c r="C402"/>
      <c r="D402"/>
    </row>
    <row r="403" spans="1:4" ht="15" customHeight="1" x14ac:dyDescent="0.45">
      <c r="A403" s="82"/>
      <c r="B403"/>
      <c r="C403"/>
      <c r="D403"/>
    </row>
    <row r="404" spans="1:4" ht="15" customHeight="1" x14ac:dyDescent="0.45">
      <c r="A404" s="82"/>
      <c r="B404"/>
      <c r="C404"/>
      <c r="D404"/>
    </row>
    <row r="405" spans="1:4" ht="15" customHeight="1" x14ac:dyDescent="0.45">
      <c r="A405" s="82"/>
      <c r="B405"/>
      <c r="C405"/>
      <c r="D405"/>
    </row>
    <row r="406" spans="1:4" ht="15" customHeight="1" x14ac:dyDescent="0.45">
      <c r="A406" s="82"/>
      <c r="B406"/>
      <c r="C406"/>
      <c r="D406"/>
    </row>
    <row r="407" spans="1:4" ht="15" customHeight="1" x14ac:dyDescent="0.45">
      <c r="A407" s="82"/>
      <c r="B407"/>
      <c r="C407"/>
      <c r="D407"/>
    </row>
    <row r="408" spans="1:4" ht="15" customHeight="1" x14ac:dyDescent="0.45">
      <c r="A408" s="82"/>
      <c r="B408"/>
      <c r="C408"/>
      <c r="D408"/>
    </row>
    <row r="409" spans="1:4" ht="15" customHeight="1" x14ac:dyDescent="0.45">
      <c r="A409" s="82"/>
      <c r="B409"/>
      <c r="C409"/>
      <c r="D409"/>
    </row>
    <row r="410" spans="1:4" ht="15" customHeight="1" x14ac:dyDescent="0.45">
      <c r="A410" s="82"/>
      <c r="B410"/>
      <c r="C410"/>
      <c r="D410"/>
    </row>
    <row r="411" spans="1:4" ht="15" customHeight="1" x14ac:dyDescent="0.45">
      <c r="A411" s="82"/>
      <c r="B411"/>
      <c r="C411"/>
      <c r="D411"/>
    </row>
    <row r="412" spans="1:4" ht="15" customHeight="1" x14ac:dyDescent="0.45">
      <c r="A412" s="82"/>
      <c r="B412"/>
      <c r="C412"/>
      <c r="D412"/>
    </row>
    <row r="413" spans="1:4" ht="15" customHeight="1" x14ac:dyDescent="0.45">
      <c r="A413" s="82"/>
      <c r="B413"/>
      <c r="C413"/>
      <c r="D413"/>
    </row>
    <row r="414" spans="1:4" ht="15" customHeight="1" x14ac:dyDescent="0.45">
      <c r="A414" s="82"/>
      <c r="B414"/>
      <c r="C414"/>
      <c r="D414"/>
    </row>
    <row r="415" spans="1:4" ht="15" customHeight="1" x14ac:dyDescent="0.45">
      <c r="A415" s="82"/>
      <c r="B415"/>
      <c r="C415"/>
      <c r="D415"/>
    </row>
    <row r="416" spans="1:4" ht="15" customHeight="1" x14ac:dyDescent="0.45">
      <c r="A416" s="82"/>
      <c r="B416"/>
      <c r="C416"/>
      <c r="D416"/>
    </row>
    <row r="417" spans="1:4" ht="15" customHeight="1" x14ac:dyDescent="0.45">
      <c r="A417" s="82"/>
      <c r="B417"/>
      <c r="C417"/>
      <c r="D417"/>
    </row>
    <row r="418" spans="1:4" ht="15" customHeight="1" x14ac:dyDescent="0.45">
      <c r="A418" s="82"/>
      <c r="B418"/>
      <c r="C418"/>
      <c r="D418"/>
    </row>
    <row r="419" spans="1:4" ht="15" customHeight="1" x14ac:dyDescent="0.45">
      <c r="A419" s="82"/>
      <c r="B419"/>
      <c r="C419"/>
      <c r="D419"/>
    </row>
    <row r="420" spans="1:4" ht="15" customHeight="1" x14ac:dyDescent="0.45">
      <c r="A420" s="82"/>
      <c r="B420"/>
      <c r="C420"/>
      <c r="D420"/>
    </row>
    <row r="421" spans="1:4" ht="15" customHeight="1" x14ac:dyDescent="0.45">
      <c r="A421" s="82"/>
      <c r="B421"/>
      <c r="C421"/>
      <c r="D421"/>
    </row>
    <row r="422" spans="1:4" ht="15" customHeight="1" x14ac:dyDescent="0.45">
      <c r="A422" s="82"/>
      <c r="B422"/>
      <c r="C422"/>
      <c r="D422"/>
    </row>
    <row r="423" spans="1:4" ht="15" customHeight="1" x14ac:dyDescent="0.45">
      <c r="A423" s="82"/>
      <c r="B423"/>
      <c r="C423"/>
      <c r="D423"/>
    </row>
    <row r="424" spans="1:4" ht="15" customHeight="1" x14ac:dyDescent="0.45">
      <c r="A424" s="82"/>
      <c r="B424"/>
      <c r="C424"/>
      <c r="D424"/>
    </row>
    <row r="425" spans="1:4" ht="15" customHeight="1" x14ac:dyDescent="0.45">
      <c r="A425" s="82"/>
      <c r="B425"/>
      <c r="C425"/>
      <c r="D425"/>
    </row>
    <row r="426" spans="1:4" ht="15" customHeight="1" x14ac:dyDescent="0.45">
      <c r="A426" s="82"/>
      <c r="B426"/>
      <c r="C426"/>
      <c r="D426"/>
    </row>
    <row r="427" spans="1:4" ht="15" customHeight="1" x14ac:dyDescent="0.45">
      <c r="A427" s="82"/>
      <c r="B427"/>
      <c r="C427"/>
      <c r="D427"/>
    </row>
    <row r="428" spans="1:4" ht="15" customHeight="1" x14ac:dyDescent="0.45">
      <c r="A428" s="82"/>
      <c r="B428"/>
      <c r="C428"/>
      <c r="D428"/>
    </row>
    <row r="429" spans="1:4" ht="15" customHeight="1" x14ac:dyDescent="0.45">
      <c r="A429" s="82"/>
      <c r="B429"/>
      <c r="C429"/>
      <c r="D429"/>
    </row>
    <row r="430" spans="1:4" ht="15" customHeight="1" x14ac:dyDescent="0.45">
      <c r="A430" s="82"/>
      <c r="B430"/>
      <c r="C430"/>
      <c r="D430"/>
    </row>
    <row r="431" spans="1:4" ht="15" customHeight="1" x14ac:dyDescent="0.45">
      <c r="A431" s="82"/>
      <c r="B431"/>
      <c r="C431"/>
      <c r="D431"/>
    </row>
    <row r="432" spans="1:4" ht="15" customHeight="1" x14ac:dyDescent="0.45">
      <c r="A432" s="82"/>
      <c r="B432"/>
      <c r="C432"/>
      <c r="D432"/>
    </row>
    <row r="433" spans="1:4" ht="15" customHeight="1" x14ac:dyDescent="0.45">
      <c r="A433" s="82"/>
      <c r="B433"/>
      <c r="C433"/>
      <c r="D433"/>
    </row>
    <row r="434" spans="1:4" ht="15" customHeight="1" x14ac:dyDescent="0.45">
      <c r="A434" s="82"/>
      <c r="B434"/>
      <c r="C434"/>
      <c r="D434"/>
    </row>
    <row r="435" spans="1:4" ht="15" customHeight="1" x14ac:dyDescent="0.45">
      <c r="A435" s="82"/>
      <c r="B435"/>
      <c r="C435"/>
      <c r="D435"/>
    </row>
    <row r="436" spans="1:4" ht="15" customHeight="1" x14ac:dyDescent="0.45">
      <c r="A436" s="82"/>
      <c r="B436"/>
      <c r="C436"/>
      <c r="D436"/>
    </row>
    <row r="437" spans="1:4" ht="15" customHeight="1" x14ac:dyDescent="0.45">
      <c r="A437" s="82"/>
      <c r="B437"/>
      <c r="C437"/>
      <c r="D437"/>
    </row>
    <row r="438" spans="1:4" ht="15" customHeight="1" x14ac:dyDescent="0.45">
      <c r="A438" s="82"/>
      <c r="B438"/>
      <c r="C438"/>
      <c r="D438"/>
    </row>
    <row r="439" spans="1:4" ht="15" customHeight="1" x14ac:dyDescent="0.45">
      <c r="A439" s="82"/>
      <c r="B439"/>
      <c r="C439"/>
      <c r="D439"/>
    </row>
    <row r="440" spans="1:4" ht="15" customHeight="1" x14ac:dyDescent="0.45">
      <c r="A440" s="82"/>
      <c r="B440"/>
      <c r="C440"/>
      <c r="D440"/>
    </row>
    <row r="441" spans="1:4" ht="15" customHeight="1" x14ac:dyDescent="0.45">
      <c r="A441" s="82"/>
      <c r="B441"/>
      <c r="C441"/>
      <c r="D441"/>
    </row>
    <row r="442" spans="1:4" ht="15" customHeight="1" x14ac:dyDescent="0.45">
      <c r="A442" s="82"/>
      <c r="B442"/>
      <c r="C442"/>
      <c r="D442"/>
    </row>
    <row r="443" spans="1:4" ht="15" customHeight="1" x14ac:dyDescent="0.45">
      <c r="A443" s="82"/>
      <c r="B443"/>
      <c r="C443"/>
      <c r="D443"/>
    </row>
    <row r="444" spans="1:4" ht="15" customHeight="1" x14ac:dyDescent="0.45">
      <c r="A444" s="82"/>
      <c r="B444"/>
      <c r="C444"/>
      <c r="D444"/>
    </row>
    <row r="445" spans="1:4" ht="15" customHeight="1" x14ac:dyDescent="0.45">
      <c r="A445" s="82"/>
      <c r="B445"/>
      <c r="C445"/>
      <c r="D445"/>
    </row>
    <row r="446" spans="1:4" ht="15" customHeight="1" x14ac:dyDescent="0.45">
      <c r="A446" s="82"/>
      <c r="B446"/>
      <c r="C446"/>
      <c r="D446"/>
    </row>
    <row r="447" spans="1:4" ht="15" customHeight="1" x14ac:dyDescent="0.45">
      <c r="A447" s="82"/>
      <c r="B447"/>
      <c r="C447"/>
      <c r="D447"/>
    </row>
  </sheetData>
  <pageMargins left="0.7" right="0.7" top="0.75" bottom="0.75" header="0.3" footer="0.3"/>
  <pageSetup paperSize="9" scale="27" orientation="landscape" verticalDpi="1200" r:id="rId1"/>
  <headerFooter>
    <oddHeader xml:space="preserve">&amp;R&amp;10&amp;F 
&amp;A
</oddHeader>
    <oddFooter>&amp;L&amp;10© 2016&amp;C&amp;10Page &amp;P of &amp;N&amp;R&amp;G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BD00B-4D04-4FF5-BCE5-51560C2455DB}">
  <dimension ref="A1:AA432"/>
  <sheetViews>
    <sheetView zoomScale="130" zoomScaleNormal="13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ColWidth="13.86328125" defaultRowHeight="15" customHeight="1" x14ac:dyDescent="0.45"/>
  <cols>
    <col min="1" max="1" width="1.53125" style="15" customWidth="1"/>
    <col min="2" max="2" width="27.19921875" style="16" customWidth="1"/>
    <col min="3" max="4" width="10.1328125" style="16" customWidth="1"/>
    <col min="5" max="5" width="4.796875" customWidth="1"/>
  </cols>
  <sheetData>
    <row r="1" spans="1:27" s="46" customFormat="1" ht="45" customHeight="1" x14ac:dyDescent="0.85">
      <c r="A1" s="5" t="str">
        <f>Info!A1</f>
        <v>Renewable Energy Modeling</v>
      </c>
      <c r="B1" s="10"/>
      <c r="C1" s="84"/>
      <c r="D1" s="10"/>
      <c r="E1" s="1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35" customFormat="1" ht="30" customHeight="1" x14ac:dyDescent="0.65">
      <c r="A2" s="14" t="str">
        <f ca="1">RIGHT(CELL("filename",A1),LEN(CELL("filename",A1))-SEARCH("]",CELL("filename", A1)))</f>
        <v>Balance sheet</v>
      </c>
      <c r="B2" s="7"/>
      <c r="C2" s="11" t="s">
        <v>11</v>
      </c>
      <c r="D2" s="11" t="s">
        <v>11</v>
      </c>
      <c r="E2" s="11"/>
      <c r="F2" s="11">
        <f>'Assumptions and Outputs'!D11</f>
        <v>55153</v>
      </c>
      <c r="G2" s="11">
        <f t="shared" ref="G2:AA2" si="0">EDATE(F2,12)</f>
        <v>55518</v>
      </c>
      <c r="H2" s="11">
        <f t="shared" si="0"/>
        <v>55884</v>
      </c>
      <c r="I2" s="11">
        <f t="shared" si="0"/>
        <v>56249</v>
      </c>
      <c r="J2" s="11">
        <f t="shared" si="0"/>
        <v>56614</v>
      </c>
      <c r="K2" s="11">
        <f t="shared" si="0"/>
        <v>56979</v>
      </c>
      <c r="L2" s="11">
        <f t="shared" si="0"/>
        <v>57345</v>
      </c>
      <c r="M2" s="11">
        <f t="shared" si="0"/>
        <v>57710</v>
      </c>
      <c r="N2" s="11">
        <f t="shared" si="0"/>
        <v>58075</v>
      </c>
      <c r="O2" s="11">
        <f t="shared" si="0"/>
        <v>58440</v>
      </c>
      <c r="P2" s="11">
        <f t="shared" si="0"/>
        <v>58806</v>
      </c>
      <c r="Q2" s="11">
        <f t="shared" si="0"/>
        <v>59171</v>
      </c>
      <c r="R2" s="11">
        <f t="shared" si="0"/>
        <v>59536</v>
      </c>
      <c r="S2" s="11">
        <f t="shared" si="0"/>
        <v>59901</v>
      </c>
      <c r="T2" s="11">
        <f t="shared" si="0"/>
        <v>60267</v>
      </c>
      <c r="U2" s="11">
        <f t="shared" si="0"/>
        <v>60632</v>
      </c>
      <c r="V2" s="11">
        <f t="shared" si="0"/>
        <v>60997</v>
      </c>
      <c r="W2" s="11">
        <f t="shared" si="0"/>
        <v>61362</v>
      </c>
      <c r="X2" s="11">
        <f t="shared" si="0"/>
        <v>61728</v>
      </c>
      <c r="Y2" s="11">
        <f t="shared" si="0"/>
        <v>62093</v>
      </c>
      <c r="Z2" s="11">
        <f t="shared" si="0"/>
        <v>62458</v>
      </c>
      <c r="AA2" s="11">
        <f t="shared" si="0"/>
        <v>62823</v>
      </c>
    </row>
    <row r="3" spans="1:27" ht="15" customHeight="1" x14ac:dyDescent="0.45">
      <c r="A3" s="82"/>
      <c r="B3" s="77" t="str">
        <f>"all in "&amp;Local_currency&amp;" 000s unless stated"</f>
        <v>all in GBP 000s unless stated</v>
      </c>
      <c r="C3" s="77"/>
      <c r="D3" s="77"/>
      <c r="L3" t="str">
        <f t="shared" ref="L3:L39" ca="1" si="1">IF(ISBLANK(K3),"",_xlfn.FORMULATEXT(K3))</f>
        <v/>
      </c>
    </row>
    <row r="4" spans="1:27" ht="15" customHeight="1" x14ac:dyDescent="0.45">
      <c r="A4" s="82"/>
      <c r="B4" s="77"/>
      <c r="C4" s="77"/>
      <c r="D4" s="77"/>
      <c r="L4" t="str">
        <f t="shared" ca="1" si="1"/>
        <v/>
      </c>
    </row>
    <row r="5" spans="1:27" ht="15" customHeight="1" x14ac:dyDescent="0.45">
      <c r="A5" s="82" t="s">
        <v>158</v>
      </c>
      <c r="B5" s="77"/>
      <c r="C5" s="77"/>
      <c r="D5" s="77"/>
      <c r="L5" t="str">
        <f t="shared" ca="1" si="1"/>
        <v/>
      </c>
    </row>
    <row r="6" spans="1:27" ht="15" customHeight="1" x14ac:dyDescent="0.45">
      <c r="A6" s="82"/>
      <c r="B6" t="s">
        <v>161</v>
      </c>
      <c r="C6"/>
      <c r="D6"/>
      <c r="F6">
        <f>E9</f>
        <v>0</v>
      </c>
      <c r="G6">
        <f t="shared" ref="G6:K6" ca="1" si="2">F9</f>
        <v>0</v>
      </c>
      <c r="H6">
        <f t="shared" ca="1" si="2"/>
        <v>21.49836561339098</v>
      </c>
      <c r="I6">
        <f t="shared" ca="1" si="2"/>
        <v>-12646.577422840262</v>
      </c>
      <c r="J6">
        <f t="shared" ca="1" si="2"/>
        <v>-17080.003363058961</v>
      </c>
      <c r="K6">
        <f t="shared" ca="1" si="2"/>
        <v>-22204.840644209085</v>
      </c>
      <c r="L6">
        <f t="shared" ref="L6" ca="1" si="3">K9</f>
        <v>-26904.630446950046</v>
      </c>
      <c r="M6">
        <f t="shared" ref="M6" ca="1" si="4">L9</f>
        <v>-31609.392867701325</v>
      </c>
      <c r="N6">
        <f t="shared" ref="N6" ca="1" si="5">M9</f>
        <v>-36319.326811183346</v>
      </c>
      <c r="O6">
        <f t="shared" ref="O6" ca="1" si="6">N9</f>
        <v>-41034.639138305341</v>
      </c>
      <c r="P6">
        <f t="shared" ref="P6" ca="1" si="7">O9</f>
        <v>-45755.544984412903</v>
      </c>
      <c r="Q6">
        <f t="shared" ref="Q6" ca="1" si="8">P9</f>
        <v>-50482.268090265454</v>
      </c>
      <c r="R6">
        <f t="shared" ref="R6" ca="1" si="9">Q9</f>
        <v>-55215.041146252785</v>
      </c>
      <c r="S6">
        <f t="shared" ref="S6" ca="1" si="10">R9</f>
        <v>-59954.106150380314</v>
      </c>
      <c r="T6">
        <f t="shared" ref="T6" ca="1" si="11">S9</f>
        <v>-64699.714780573617</v>
      </c>
      <c r="U6">
        <f t="shared" ref="U6" ca="1" si="12">T9</f>
        <v>-69452.128781875334</v>
      </c>
      <c r="V6">
        <f t="shared" ref="V6" ca="1" si="13">U9</f>
        <v>-74211.620369129814</v>
      </c>
      <c r="W6">
        <f t="shared" ref="W6" ca="1" si="14">V9</f>
        <v>-78978.472645775153</v>
      </c>
      <c r="X6">
        <f t="shared" ref="X6" ca="1" si="15">W9</f>
        <v>-83752.980039387025</v>
      </c>
      <c r="Y6">
        <f t="shared" ref="Y6" ca="1" si="16">X9</f>
        <v>-94147.470569274607</v>
      </c>
      <c r="Z6">
        <f t="shared" ref="Z6" ca="1" si="17">Y9</f>
        <v>-104188.35211634458</v>
      </c>
      <c r="AA6">
        <f t="shared" ref="AA6" ca="1" si="18">Z9</f>
        <v>-114447.38414819649</v>
      </c>
    </row>
    <row r="7" spans="1:27" ht="15" customHeight="1" x14ac:dyDescent="0.45">
      <c r="A7" s="82"/>
      <c r="B7" t="s">
        <v>163</v>
      </c>
      <c r="C7"/>
      <c r="D7"/>
      <c r="F7">
        <f ca="1">'P&amp;L and Tax'!F42</f>
        <v>0</v>
      </c>
      <c r="G7">
        <f ca="1">'P&amp;L and Tax'!G42</f>
        <v>21.49836561339098</v>
      </c>
      <c r="H7">
        <f ca="1">'P&amp;L and Tax'!H42</f>
        <v>-1184.7616720242822</v>
      </c>
      <c r="I7">
        <f ca="1">'P&amp;L and Tax'!I42</f>
        <v>3592.9204558617857</v>
      </c>
      <c r="J7">
        <f ca="1">'P&amp;L and Tax'!J42</f>
        <v>9607.7979325305387</v>
      </c>
      <c r="K7">
        <f ca="1">'P&amp;L and Tax'!K42</f>
        <v>10111.16891712361</v>
      </c>
      <c r="L7">
        <f ca="1">'P&amp;L and Tax'!L42</f>
        <v>10634.781171122671</v>
      </c>
      <c r="M7">
        <f ca="1">'P&amp;L and Tax'!M42</f>
        <v>11179.444345303968</v>
      </c>
      <c r="N7">
        <f ca="1">'P&amp;L and Tax'!N42</f>
        <v>11746.000476474768</v>
      </c>
      <c r="O7">
        <f ca="1">'P&amp;L and Tax'!O42</f>
        <v>12335.325282914688</v>
      </c>
      <c r="P7">
        <f ca="1">'P&amp;L and Tax'!P42</f>
        <v>12948.329511634445</v>
      </c>
      <c r="Q7">
        <f ca="1">'P&amp;L and Tax'!Q42</f>
        <v>13585.960339525271</v>
      </c>
      <c r="R7">
        <f ca="1">'P&amp;L and Tax'!R42</f>
        <v>14249.20283055399</v>
      </c>
      <c r="S7">
        <f ca="1">'P&amp;L and Tax'!S42</f>
        <v>14939.081451246113</v>
      </c>
      <c r="T7">
        <f ca="1">'P&amp;L and Tax'!T42</f>
        <v>15656.66164678819</v>
      </c>
      <c r="U7">
        <f ca="1">'P&amp;L and Tax'!U42</f>
        <v>16403.051480174217</v>
      </c>
      <c r="V7">
        <f ca="1">'P&amp;L and Tax'!V42</f>
        <v>17179.403336917949</v>
      </c>
      <c r="W7">
        <f ca="1">'P&amp;L and Tax'!W42</f>
        <v>17986.9156979537</v>
      </c>
      <c r="X7">
        <f ca="1">'P&amp;L and Tax'!X42</f>
        <v>18805.881572819791</v>
      </c>
      <c r="Y7">
        <f ca="1">'P&amp;L and Tax'!Y42</f>
        <v>15387.515076177391</v>
      </c>
      <c r="Z7">
        <f ca="1">'P&amp;L and Tax'!Z42</f>
        <v>16297.812194564101</v>
      </c>
      <c r="AA7">
        <f ca="1">'P&amp;L and Tax'!AA42</f>
        <v>17237.193759169564</v>
      </c>
    </row>
    <row r="8" spans="1:27" ht="15" customHeight="1" x14ac:dyDescent="0.45">
      <c r="A8" s="82"/>
      <c r="B8" t="s">
        <v>164</v>
      </c>
      <c r="C8"/>
      <c r="D8"/>
      <c r="F8" s="90">
        <f ca="1">Debt!F47</f>
        <v>0</v>
      </c>
      <c r="G8" s="90">
        <f ca="1">Debt!G47</f>
        <v>0</v>
      </c>
      <c r="H8" s="90">
        <f ca="1">Debt!H47</f>
        <v>-11483.31411642937</v>
      </c>
      <c r="I8" s="90">
        <f ca="1">Debt!I47</f>
        <v>-8026.3463960804838</v>
      </c>
      <c r="J8" s="90">
        <f ca="1">Debt!J47</f>
        <v>-14732.635213680664</v>
      </c>
      <c r="K8" s="90">
        <f ca="1">Debt!K47</f>
        <v>-14810.958719864571</v>
      </c>
      <c r="L8" s="90">
        <f ca="1">Debt!L47</f>
        <v>-15339.543591873949</v>
      </c>
      <c r="M8" s="90">
        <f ca="1">Debt!M47</f>
        <v>-15889.378288785989</v>
      </c>
      <c r="N8" s="90">
        <f ca="1">Debt!N47</f>
        <v>-16461.312803596764</v>
      </c>
      <c r="O8" s="90">
        <f ca="1">Debt!O47</f>
        <v>-17056.231129022246</v>
      </c>
      <c r="P8" s="90">
        <f ca="1">Debt!P47</f>
        <v>-17675.052617486996</v>
      </c>
      <c r="Q8" s="90">
        <f ca="1">Debt!Q47</f>
        <v>-18318.733395512601</v>
      </c>
      <c r="R8" s="90">
        <f ca="1">Debt!R47</f>
        <v>-18988.267834681516</v>
      </c>
      <c r="S8" s="90">
        <f ca="1">Debt!S47</f>
        <v>-19684.690081439418</v>
      </c>
      <c r="T8" s="90">
        <f ca="1">Debt!T47</f>
        <v>-20409.075648089914</v>
      </c>
      <c r="U8" s="90">
        <f ca="1">Debt!U47</f>
        <v>-21162.543067428698</v>
      </c>
      <c r="V8" s="90">
        <f ca="1">Debt!V47</f>
        <v>-21946.255613563299</v>
      </c>
      <c r="W8" s="90">
        <f ca="1">Debt!W47</f>
        <v>-22761.423091565575</v>
      </c>
      <c r="X8" s="90">
        <f ca="1">Debt!X47</f>
        <v>-29200.372102707381</v>
      </c>
      <c r="Y8" s="90">
        <f ca="1">Debt!Y47</f>
        <v>-25428.396623247354</v>
      </c>
      <c r="Z8" s="90">
        <f ca="1">Debt!Z47</f>
        <v>-26556.844226416011</v>
      </c>
      <c r="AA8" s="90">
        <f ca="1">Debt!AA47</f>
        <v>-29478.828010675279</v>
      </c>
    </row>
    <row r="9" spans="1:27" ht="15" customHeight="1" x14ac:dyDescent="0.45">
      <c r="A9" s="82"/>
      <c r="B9" t="s">
        <v>162</v>
      </c>
      <c r="C9"/>
      <c r="D9"/>
      <c r="E9" s="83">
        <v>0</v>
      </c>
      <c r="F9">
        <f ca="1">SUM(F6:F8)</f>
        <v>0</v>
      </c>
      <c r="G9">
        <f t="shared" ref="G9:K9" ca="1" si="19">SUM(G6:G8)</f>
        <v>21.49836561339098</v>
      </c>
      <c r="H9">
        <f t="shared" ca="1" si="19"/>
        <v>-12646.577422840262</v>
      </c>
      <c r="I9">
        <f t="shared" ca="1" si="19"/>
        <v>-17080.003363058961</v>
      </c>
      <c r="J9">
        <f t="shared" ca="1" si="19"/>
        <v>-22204.840644209085</v>
      </c>
      <c r="K9">
        <f t="shared" ca="1" si="19"/>
        <v>-26904.630446950046</v>
      </c>
      <c r="L9">
        <f t="shared" ref="L9:AA9" ca="1" si="20">SUM(L6:L8)</f>
        <v>-31609.392867701325</v>
      </c>
      <c r="M9">
        <f t="shared" ca="1" si="20"/>
        <v>-36319.326811183346</v>
      </c>
      <c r="N9">
        <f t="shared" ca="1" si="20"/>
        <v>-41034.639138305341</v>
      </c>
      <c r="O9">
        <f t="shared" ca="1" si="20"/>
        <v>-45755.544984412903</v>
      </c>
      <c r="P9">
        <f t="shared" ca="1" si="20"/>
        <v>-50482.268090265454</v>
      </c>
      <c r="Q9">
        <f t="shared" ca="1" si="20"/>
        <v>-55215.041146252785</v>
      </c>
      <c r="R9">
        <f t="shared" ca="1" si="20"/>
        <v>-59954.106150380314</v>
      </c>
      <c r="S9">
        <f t="shared" ca="1" si="20"/>
        <v>-64699.714780573617</v>
      </c>
      <c r="T9">
        <f t="shared" ca="1" si="20"/>
        <v>-69452.128781875334</v>
      </c>
      <c r="U9">
        <f t="shared" ca="1" si="20"/>
        <v>-74211.620369129814</v>
      </c>
      <c r="V9">
        <f t="shared" ca="1" si="20"/>
        <v>-78978.472645775153</v>
      </c>
      <c r="W9">
        <f t="shared" ca="1" si="20"/>
        <v>-83752.980039387025</v>
      </c>
      <c r="X9">
        <f t="shared" ca="1" si="20"/>
        <v>-94147.470569274607</v>
      </c>
      <c r="Y9">
        <f t="shared" ca="1" si="20"/>
        <v>-104188.35211634458</v>
      </c>
      <c r="Z9">
        <f t="shared" ca="1" si="20"/>
        <v>-114447.38414819649</v>
      </c>
      <c r="AA9">
        <f t="shared" ca="1" si="20"/>
        <v>-126689.01839970221</v>
      </c>
    </row>
    <row r="10" spans="1:27" ht="15" customHeight="1" x14ac:dyDescent="0.45">
      <c r="A10" s="82"/>
      <c r="B10" s="77"/>
      <c r="C10"/>
      <c r="D10"/>
    </row>
    <row r="11" spans="1:27" ht="15" customHeight="1" x14ac:dyDescent="0.45">
      <c r="A11" s="82" t="s">
        <v>159</v>
      </c>
      <c r="B11" s="77"/>
      <c r="C11"/>
      <c r="D11"/>
    </row>
    <row r="12" spans="1:27" ht="15" customHeight="1" x14ac:dyDescent="0.45">
      <c r="A12" s="96"/>
      <c r="B12" t="s">
        <v>142</v>
      </c>
      <c r="C12"/>
      <c r="D12"/>
      <c r="F12" s="90">
        <f ca="1">'Cashflow statement'!F23</f>
        <v>0</v>
      </c>
      <c r="G12" s="90">
        <f ca="1">'Cashflow statement'!G23</f>
        <v>5761.561984388798</v>
      </c>
      <c r="H12" s="90">
        <f ca="1">'Cashflow statement'!H23</f>
        <v>5793.8274481135923</v>
      </c>
      <c r="I12" s="90">
        <f ca="1">'Cashflow statement'!I23</f>
        <v>13384.234384774143</v>
      </c>
      <c r="J12" s="90">
        <f ca="1">'Cashflow statement'!J23</f>
        <v>13065.456939647207</v>
      </c>
      <c r="K12" s="90">
        <f ca="1">'Cashflow statement'!K23</f>
        <v>12707.142531356374</v>
      </c>
      <c r="L12" s="90">
        <f ca="1">'Cashflow statement'!L23</f>
        <v>12348.828123065548</v>
      </c>
      <c r="M12" s="90">
        <f ca="1">'Cashflow statement'!M23</f>
        <v>11990.513714774719</v>
      </c>
      <c r="N12" s="90">
        <f ca="1">'Cashflow statement'!N23</f>
        <v>11632.199306483883</v>
      </c>
      <c r="O12" s="90">
        <f ca="1">'Cashflow statement'!O23</f>
        <v>11273.88489819305</v>
      </c>
      <c r="P12" s="90">
        <f ca="1">'Cashflow statement'!P23</f>
        <v>10915.570489902213</v>
      </c>
      <c r="Q12" s="90">
        <f ca="1">'Cashflow statement'!Q23</f>
        <v>10557.256081611387</v>
      </c>
      <c r="R12" s="90">
        <f ca="1">'Cashflow statement'!R23</f>
        <v>10198.941673320551</v>
      </c>
      <c r="S12" s="90">
        <f ca="1">'Cashflow statement'!S23</f>
        <v>9840.6272650297251</v>
      </c>
      <c r="T12" s="90">
        <f ca="1">'Cashflow statement'!T23</f>
        <v>9482.3128567388958</v>
      </c>
      <c r="U12" s="90">
        <f ca="1">'Cashflow statement'!U23</f>
        <v>9123.9984484480665</v>
      </c>
      <c r="V12" s="90">
        <f ca="1">'Cashflow statement'!V23</f>
        <v>8765.6840401572408</v>
      </c>
      <c r="W12" s="90">
        <f ca="1">'Cashflow statement'!W23</f>
        <v>8407.3696318663897</v>
      </c>
      <c r="X12" s="90">
        <f ca="1">'Cashflow statement'!X23</f>
        <v>2433.5411738394541</v>
      </c>
      <c r="Y12" s="90">
        <f ca="1">'Cashflow statement'!Y23</f>
        <v>2264.8113453463375</v>
      </c>
      <c r="Z12" s="90">
        <f ca="1">'Cashflow statement'!Z23</f>
        <v>2125.1015989944062</v>
      </c>
      <c r="AA12" s="90">
        <f ca="1">'Cashflow statement'!AA23</f>
        <v>10.516881022744201</v>
      </c>
    </row>
    <row r="13" spans="1:27" ht="15" customHeight="1" x14ac:dyDescent="0.45">
      <c r="A13" s="82"/>
      <c r="B13" t="s">
        <v>143</v>
      </c>
      <c r="C13" t="str">
        <f>'Assumptions and Outputs'!C62</f>
        <v>Days</v>
      </c>
      <c r="D13">
        <f>'Assumptions and Outputs'!D62</f>
        <v>30</v>
      </c>
      <c r="F13">
        <f ca="1">$D$13/'Assumptions and Outputs'!$D$20*Operations!F42</f>
        <v>0</v>
      </c>
      <c r="G13">
        <f ca="1">$D$13/'Assumptions and Outputs'!$D$20*Operations!G42</f>
        <v>0</v>
      </c>
      <c r="H13">
        <f ca="1">$D$13/'Assumptions and Outputs'!$D$20*Operations!H42</f>
        <v>3483.4693118399878</v>
      </c>
      <c r="I13">
        <f ca="1">$D$13/'Assumptions and Outputs'!$D$20*Operations!I42</f>
        <v>4098.6043645137424</v>
      </c>
      <c r="J13">
        <f ca="1">$D$13/'Assumptions and Outputs'!$D$20*Operations!J42</f>
        <v>4864.4526489230157</v>
      </c>
      <c r="K13">
        <f ca="1">$D$13/'Assumptions and Outputs'!$D$20*Operations!K42</f>
        <v>4986.1816316850209</v>
      </c>
      <c r="L13">
        <f ca="1">$D$13/'Assumptions and Outputs'!$D$20*Operations!L42</f>
        <v>5113.9461301658857</v>
      </c>
      <c r="M13">
        <f ca="1">$D$13/'Assumptions and Outputs'!$D$20*Operations!M42</f>
        <v>5247.987564994366</v>
      </c>
      <c r="N13">
        <f ca="1">$D$13/'Assumptions and Outputs'!$D$20*Operations!N42</f>
        <v>5388.5570136243641</v>
      </c>
      <c r="O13">
        <f ca="1">$D$13/'Assumptions and Outputs'!$D$20*Operations!O42</f>
        <v>5535.9155966079416</v>
      </c>
      <c r="P13">
        <f ca="1">$D$13/'Assumptions and Outputs'!$D$20*Operations!P42</f>
        <v>5690.3348793192399</v>
      </c>
      <c r="Q13">
        <f ca="1">$D$13/'Assumptions and Outputs'!$D$20*Operations!Q42</f>
        <v>5852.0972897473712</v>
      </c>
      <c r="R13">
        <f ca="1">$D$13/'Assumptions and Outputs'!$D$20*Operations!R42</f>
        <v>6021.4965530010068</v>
      </c>
      <c r="S13">
        <f ca="1">$D$13/'Assumptions and Outputs'!$D$20*Operations!S42</f>
        <v>6198.8381431931648</v>
      </c>
      <c r="T13">
        <f ca="1">$D$13/'Assumptions and Outputs'!$D$20*Operations!T42</f>
        <v>6384.4397534013897</v>
      </c>
      <c r="U13">
        <f ca="1">$D$13/'Assumptions and Outputs'!$D$20*Operations!U42</f>
        <v>6578.6317844263231</v>
      </c>
      <c r="V13">
        <f ca="1">$D$13/'Assumptions and Outputs'!$D$20*Operations!V42</f>
        <v>6781.7578531006329</v>
      </c>
      <c r="W13">
        <f ca="1">$D$13/'Assumptions and Outputs'!$D$20*Operations!W42</f>
        <v>6994.1753209302942</v>
      </c>
      <c r="X13">
        <f ca="1">$D$13/'Assumptions and Outputs'!$D$20*Operations!X42</f>
        <v>7216.2558438815204</v>
      </c>
      <c r="Y13">
        <f ca="1">$D$13/'Assumptions and Outputs'!$D$20*Operations!Y42</f>
        <v>6989.1331083598607</v>
      </c>
      <c r="Z13">
        <f ca="1">$D$13/'Assumptions and Outputs'!$D$20*Operations!Z42</f>
        <v>7249.504379414162</v>
      </c>
      <c r="AA13">
        <f ca="1">$D$13/'Assumptions and Outputs'!$D$20*Operations!AA42</f>
        <v>7520.7452733047267</v>
      </c>
    </row>
    <row r="14" spans="1:27" ht="15" customHeight="1" x14ac:dyDescent="0.45">
      <c r="A14" s="82"/>
      <c r="B14" t="s">
        <v>144</v>
      </c>
      <c r="C14"/>
      <c r="D14"/>
      <c r="F14">
        <f ca="1">'Sources and Uses'!F51</f>
        <v>44561.919999999998</v>
      </c>
      <c r="G14">
        <f ca="1">'Sources and Uses'!G51</f>
        <v>238369.07509491994</v>
      </c>
      <c r="H14">
        <f ca="1">'Sources and Uses'!H51</f>
        <v>226450.62134017394</v>
      </c>
      <c r="I14">
        <f ca="1">'Sources and Uses'!I51</f>
        <v>214532.16758542793</v>
      </c>
      <c r="J14">
        <f ca="1">'Sources and Uses'!J51</f>
        <v>202613.71383068193</v>
      </c>
      <c r="K14">
        <f ca="1">'Sources and Uses'!K51</f>
        <v>190695.26007593592</v>
      </c>
      <c r="L14">
        <f ca="1">'Sources and Uses'!L51</f>
        <v>178776.80632118991</v>
      </c>
      <c r="M14">
        <f ca="1">'Sources and Uses'!M51</f>
        <v>166858.35256644391</v>
      </c>
      <c r="N14">
        <f ca="1">'Sources and Uses'!N51</f>
        <v>154939.8988116979</v>
      </c>
      <c r="O14">
        <f ca="1">'Sources and Uses'!O51</f>
        <v>143021.4450569519</v>
      </c>
      <c r="P14">
        <f ca="1">'Sources and Uses'!P51</f>
        <v>131102.99130220589</v>
      </c>
      <c r="Q14">
        <f ca="1">'Sources and Uses'!Q51</f>
        <v>119184.53754745988</v>
      </c>
      <c r="R14">
        <f ca="1">'Sources and Uses'!R51</f>
        <v>107266.08379271388</v>
      </c>
      <c r="S14">
        <f ca="1">'Sources and Uses'!S51</f>
        <v>95347.630037967872</v>
      </c>
      <c r="T14">
        <f ca="1">'Sources and Uses'!T51</f>
        <v>83429.176283221866</v>
      </c>
      <c r="U14">
        <f ca="1">'Sources and Uses'!U51</f>
        <v>71510.722528475861</v>
      </c>
      <c r="V14">
        <f ca="1">'Sources and Uses'!V51</f>
        <v>59592.268773729862</v>
      </c>
      <c r="W14">
        <f ca="1">'Sources and Uses'!W51</f>
        <v>47673.815018983863</v>
      </c>
      <c r="X14">
        <f ca="1">'Sources and Uses'!X51</f>
        <v>35755.361264237865</v>
      </c>
      <c r="Y14">
        <f ca="1">'Sources and Uses'!Y51</f>
        <v>23836.907509491866</v>
      </c>
      <c r="Z14">
        <f ca="1">'Sources and Uses'!Z51</f>
        <v>11918.453754745868</v>
      </c>
      <c r="AA14">
        <f ca="1">'Sources and Uses'!AA51</f>
        <v>0</v>
      </c>
    </row>
    <row r="15" spans="1:27" ht="15" customHeight="1" x14ac:dyDescent="0.45">
      <c r="A15" s="82"/>
      <c r="B15" t="s">
        <v>145</v>
      </c>
      <c r="C15"/>
      <c r="D15"/>
      <c r="F15">
        <f ca="1">SUM(F12:F14)</f>
        <v>44561.919999999998</v>
      </c>
      <c r="G15">
        <f t="shared" ref="G15:K15" ca="1" si="21">SUM(G12:G14)</f>
        <v>244130.63707930874</v>
      </c>
      <c r="H15">
        <f t="shared" ca="1" si="21"/>
        <v>235727.91810012751</v>
      </c>
      <c r="I15">
        <f t="shared" ca="1" si="21"/>
        <v>232015.00633471581</v>
      </c>
      <c r="J15">
        <f t="shared" ca="1" si="21"/>
        <v>220543.62341925214</v>
      </c>
      <c r="K15">
        <f t="shared" ca="1" si="21"/>
        <v>208388.58423897732</v>
      </c>
      <c r="L15">
        <f t="shared" ref="L15:AA15" ca="1" si="22">SUM(L12:L14)</f>
        <v>196239.58057442136</v>
      </c>
      <c r="M15">
        <f t="shared" ca="1" si="22"/>
        <v>184096.85384621299</v>
      </c>
      <c r="N15">
        <f t="shared" ca="1" si="22"/>
        <v>171960.65513180615</v>
      </c>
      <c r="O15">
        <f t="shared" ca="1" si="22"/>
        <v>159831.24555175289</v>
      </c>
      <c r="P15">
        <f t="shared" ca="1" si="22"/>
        <v>147708.89667142736</v>
      </c>
      <c r="Q15">
        <f t="shared" ca="1" si="22"/>
        <v>135593.89091881865</v>
      </c>
      <c r="R15">
        <f t="shared" ca="1" si="22"/>
        <v>123486.52201903543</v>
      </c>
      <c r="S15">
        <f t="shared" ca="1" si="22"/>
        <v>111387.09544619077</v>
      </c>
      <c r="T15">
        <f t="shared" ca="1" si="22"/>
        <v>99295.928893362157</v>
      </c>
      <c r="U15">
        <f t="shared" ca="1" si="22"/>
        <v>87213.352761350252</v>
      </c>
      <c r="V15">
        <f t="shared" ca="1" si="22"/>
        <v>75139.710666987739</v>
      </c>
      <c r="W15">
        <f t="shared" ca="1" si="22"/>
        <v>63075.359971780548</v>
      </c>
      <c r="X15">
        <f t="shared" ca="1" si="22"/>
        <v>45405.158281958837</v>
      </c>
      <c r="Y15">
        <f t="shared" ca="1" si="22"/>
        <v>33090.85196319806</v>
      </c>
      <c r="Z15">
        <f t="shared" ca="1" si="22"/>
        <v>21293.059733154434</v>
      </c>
      <c r="AA15">
        <f t="shared" ca="1" si="22"/>
        <v>7531.2621543274709</v>
      </c>
    </row>
    <row r="16" spans="1:27" ht="15" customHeight="1" x14ac:dyDescent="0.45">
      <c r="A16" s="82"/>
      <c r="B16"/>
      <c r="C16"/>
      <c r="D16"/>
    </row>
    <row r="17" spans="1:27" ht="15" customHeight="1" x14ac:dyDescent="0.45">
      <c r="A17" s="96"/>
      <c r="B17" t="s">
        <v>146</v>
      </c>
      <c r="C17"/>
      <c r="D17"/>
      <c r="F17">
        <f ca="1">'P&amp;L and Tax'!F46</f>
        <v>0</v>
      </c>
      <c r="G17">
        <f ca="1">'P&amp;L and Tax'!G46</f>
        <v>3.5830609355651633</v>
      </c>
      <c r="H17">
        <f ca="1">'P&amp;L and Tax'!H46</f>
        <v>0</v>
      </c>
      <c r="I17">
        <f ca="1">'P&amp;L and Tax'!I46</f>
        <v>401.35979730625058</v>
      </c>
      <c r="J17">
        <f ca="1">'P&amp;L and Tax'!J46</f>
        <v>1601.2996554217564</v>
      </c>
      <c r="K17">
        <f ca="1">'P&amp;L and Tax'!K46</f>
        <v>1685.1948195206016</v>
      </c>
      <c r="L17">
        <f ca="1">'P&amp;L and Tax'!L46</f>
        <v>1772.4635285204454</v>
      </c>
      <c r="M17">
        <f ca="1">'P&amp;L and Tax'!M46</f>
        <v>1863.2407242173279</v>
      </c>
      <c r="N17">
        <f ca="1">'P&amp;L and Tax'!N46</f>
        <v>1957.6667460791282</v>
      </c>
      <c r="O17">
        <f ca="1">'P&amp;L and Tax'!O46</f>
        <v>2055.887547152448</v>
      </c>
      <c r="P17">
        <f ca="1">'P&amp;L and Tax'!P46</f>
        <v>2158.054918605741</v>
      </c>
      <c r="Q17">
        <f ca="1">'P&amp;L and Tax'!Q46</f>
        <v>2264.3267232542116</v>
      </c>
      <c r="R17">
        <f ca="1">'P&amp;L and Tax'!R46</f>
        <v>2374.867138425665</v>
      </c>
      <c r="S17">
        <f ca="1">'P&amp;L and Tax'!S46</f>
        <v>2489.8469085410188</v>
      </c>
      <c r="T17">
        <f ca="1">'P&amp;L and Tax'!T46</f>
        <v>2609.4436077980317</v>
      </c>
      <c r="U17">
        <f ca="1">'P&amp;L and Tax'!U46</f>
        <v>2733.8419133623697</v>
      </c>
      <c r="V17">
        <f ca="1">'P&amp;L and Tax'!V46</f>
        <v>2863.2338894863246</v>
      </c>
      <c r="W17">
        <f ca="1">'P&amp;L and Tax'!W46</f>
        <v>2997.8192829922837</v>
      </c>
      <c r="X17">
        <f ca="1">'P&amp;L and Tax'!X46</f>
        <v>3134.3135954699651</v>
      </c>
      <c r="Y17">
        <f ca="1">'P&amp;L and Tax'!Y46</f>
        <v>2564.5858460295653</v>
      </c>
      <c r="Z17">
        <f ca="1">'P&amp;L and Tax'!Z46</f>
        <v>2716.3020324273502</v>
      </c>
      <c r="AA17">
        <f ca="1">'P&amp;L and Tax'!AA46</f>
        <v>2872.8656265282607</v>
      </c>
    </row>
    <row r="18" spans="1:27" ht="15" customHeight="1" x14ac:dyDescent="0.45">
      <c r="A18" s="82"/>
      <c r="B18" t="s">
        <v>147</v>
      </c>
      <c r="C18" t="str">
        <f>'Assumptions and Outputs'!C63</f>
        <v>Days</v>
      </c>
      <c r="D18">
        <f>'Assumptions and Outputs'!D63</f>
        <v>60</v>
      </c>
      <c r="F18">
        <f>$D$18/'Assumptions and Outputs'!$D$20*Operations!F47*-1</f>
        <v>0</v>
      </c>
      <c r="G18">
        <f>$D$18/'Assumptions and Outputs'!$D$20*Operations!G47*-1</f>
        <v>0</v>
      </c>
      <c r="H18">
        <f>$D$18/'Assumptions and Outputs'!$D$20*Operations!H47*-1</f>
        <v>4268.9398702080007</v>
      </c>
      <c r="I18">
        <f>$D$18/'Assumptions and Outputs'!$D$20*Operations!I47*-1</f>
        <v>4588.0942477087574</v>
      </c>
      <c r="J18">
        <f>$D$18/'Assumptions and Outputs'!$D$20*Operations!J47*-1</f>
        <v>4771.6180176171074</v>
      </c>
      <c r="K18">
        <f>$D$18/'Assumptions and Outputs'!$D$20*Operations!K47*-1</f>
        <v>4962.4827383217917</v>
      </c>
      <c r="L18">
        <f>$D$18/'Assumptions and Outputs'!$D$20*Operations!L47*-1</f>
        <v>5160.9820478546635</v>
      </c>
      <c r="M18">
        <f>$D$18/'Assumptions and Outputs'!$D$20*Operations!M47*-1</f>
        <v>5367.4213297688511</v>
      </c>
      <c r="N18">
        <f>$D$18/'Assumptions and Outputs'!$D$20*Operations!N47*-1</f>
        <v>5582.1181829596053</v>
      </c>
      <c r="O18">
        <f>$D$18/'Assumptions and Outputs'!$D$20*Operations!O47*-1</f>
        <v>5805.4029102779887</v>
      </c>
      <c r="P18">
        <f>$D$18/'Assumptions and Outputs'!$D$20*Operations!P47*-1</f>
        <v>6037.619026689109</v>
      </c>
      <c r="Q18">
        <f>$D$18/'Assumptions and Outputs'!$D$20*Operations!Q47*-1</f>
        <v>6279.1237877566737</v>
      </c>
      <c r="R18">
        <f>$D$18/'Assumptions and Outputs'!$D$20*Operations!R47*-1</f>
        <v>6530.2887392669409</v>
      </c>
      <c r="S18">
        <f>$D$18/'Assumptions and Outputs'!$D$20*Operations!S47*-1</f>
        <v>6791.5002888376184</v>
      </c>
      <c r="T18">
        <f>$D$18/'Assumptions and Outputs'!$D$20*Operations!T47*-1</f>
        <v>7063.1603003911232</v>
      </c>
      <c r="U18">
        <f>$D$18/'Assumptions and Outputs'!$D$20*Operations!U47*-1</f>
        <v>7345.6867124067685</v>
      </c>
      <c r="V18">
        <f>$D$18/'Assumptions and Outputs'!$D$20*Operations!V47*-1</f>
        <v>7639.5141809030401</v>
      </c>
      <c r="W18">
        <f>$D$18/'Assumptions and Outputs'!$D$20*Operations!W47*-1</f>
        <v>7945.0947481391604</v>
      </c>
      <c r="X18">
        <f>$D$18/'Assumptions and Outputs'!$D$20*Operations!X47*-1</f>
        <v>8262.8985380647282</v>
      </c>
      <c r="Y18">
        <f>$D$18/'Assumptions and Outputs'!$D$20*Operations!Y47*-1</f>
        <v>8593.4144795873162</v>
      </c>
      <c r="Z18">
        <f>$D$18/'Assumptions and Outputs'!$D$20*Operations!Z47*-1</f>
        <v>8937.151058770809</v>
      </c>
      <c r="AA18">
        <f>$D$18/'Assumptions and Outputs'!$D$20*Operations!AA47*-1</f>
        <v>9294.6371011216415</v>
      </c>
    </row>
    <row r="19" spans="1:27" ht="15" customHeight="1" x14ac:dyDescent="0.45">
      <c r="A19" s="82"/>
      <c r="B19" t="s">
        <v>133</v>
      </c>
      <c r="C19"/>
      <c r="D19"/>
      <c r="F19" s="90">
        <f ca="1">Debt!F24</f>
        <v>0</v>
      </c>
      <c r="G19" s="90">
        <f ca="1">Debt!G24</f>
        <v>85436.944478465928</v>
      </c>
      <c r="H19" s="90">
        <f ca="1">Debt!H24</f>
        <v>85436.944478465928</v>
      </c>
      <c r="I19" s="90">
        <f ca="1">Debt!I24</f>
        <v>85436.944478465928</v>
      </c>
      <c r="J19" s="90">
        <f ca="1">Debt!J24</f>
        <v>79741.148179901531</v>
      </c>
      <c r="K19" s="90">
        <f ca="1">Debt!K24</f>
        <v>74045.351881337134</v>
      </c>
      <c r="L19" s="90">
        <f ca="1">Debt!L24</f>
        <v>68349.555582772737</v>
      </c>
      <c r="M19" s="90">
        <f ca="1">Debt!M24</f>
        <v>62653.75928420834</v>
      </c>
      <c r="N19" s="90">
        <f ca="1">Debt!N24</f>
        <v>56957.962985643942</v>
      </c>
      <c r="O19" s="90">
        <f ca="1">Debt!O24</f>
        <v>51262.166687079545</v>
      </c>
      <c r="P19" s="90">
        <f ca="1">Debt!P24</f>
        <v>45566.370388515148</v>
      </c>
      <c r="Q19" s="90">
        <f ca="1">Debt!Q24</f>
        <v>39870.574089950751</v>
      </c>
      <c r="R19" s="90">
        <f ca="1">Debt!R24</f>
        <v>34174.777791386354</v>
      </c>
      <c r="S19" s="90">
        <f ca="1">Debt!S24</f>
        <v>28478.981492821957</v>
      </c>
      <c r="T19" s="90">
        <f ca="1">Debt!T24</f>
        <v>22783.185194257559</v>
      </c>
      <c r="U19" s="90">
        <f ca="1">Debt!U24</f>
        <v>17087.388895693162</v>
      </c>
      <c r="V19" s="90">
        <f ca="1">Debt!V24</f>
        <v>11391.592597128767</v>
      </c>
      <c r="W19" s="90">
        <f ca="1">Debt!W24</f>
        <v>5695.7962985643717</v>
      </c>
      <c r="X19" s="90">
        <f ca="1">Debt!X24</f>
        <v>0</v>
      </c>
      <c r="Y19" s="90">
        <f ca="1">Debt!Y24</f>
        <v>0</v>
      </c>
      <c r="Z19" s="90">
        <f ca="1">Debt!Z24</f>
        <v>0</v>
      </c>
      <c r="AA19" s="90">
        <f ca="1">Debt!AA24</f>
        <v>0</v>
      </c>
    </row>
    <row r="20" spans="1:27" ht="15" customHeight="1" x14ac:dyDescent="0.45">
      <c r="A20" s="82"/>
      <c r="B20" t="s">
        <v>134</v>
      </c>
      <c r="C20"/>
      <c r="D20"/>
      <c r="F20" s="90">
        <f ca="1">Debt!F32</f>
        <v>0</v>
      </c>
      <c r="G20" s="90">
        <f ca="1">Debt!G32</f>
        <v>36615.833347913976</v>
      </c>
      <c r="H20" s="90">
        <f ca="1">Debt!H32</f>
        <v>36615.833347913976</v>
      </c>
      <c r="I20" s="90">
        <f ca="1">Debt!I32</f>
        <v>36615.833347913976</v>
      </c>
      <c r="J20" s="90">
        <f ca="1">Debt!J32</f>
        <v>34581.620384140981</v>
      </c>
      <c r="K20" s="90">
        <f ca="1">Debt!K32</f>
        <v>32547.407420367981</v>
      </c>
      <c r="L20" s="90">
        <f ca="1">Debt!L32</f>
        <v>30513.194456594982</v>
      </c>
      <c r="M20" s="90">
        <f ca="1">Debt!M32</f>
        <v>28478.981492821982</v>
      </c>
      <c r="N20" s="90">
        <f ca="1">Debt!N32</f>
        <v>26444.768529048983</v>
      </c>
      <c r="O20" s="90">
        <f ca="1">Debt!O32</f>
        <v>24410.555565275983</v>
      </c>
      <c r="P20" s="90">
        <f ca="1">Debt!P32</f>
        <v>22376.342601502984</v>
      </c>
      <c r="Q20" s="90">
        <f ca="1">Debt!Q32</f>
        <v>20342.129637729984</v>
      </c>
      <c r="R20" s="90">
        <f ca="1">Debt!R32</f>
        <v>18307.916673956985</v>
      </c>
      <c r="S20" s="90">
        <f ca="1">Debt!S32</f>
        <v>16273.703710183985</v>
      </c>
      <c r="T20" s="90">
        <f ca="1">Debt!T32</f>
        <v>14239.490746410986</v>
      </c>
      <c r="U20" s="90">
        <f ca="1">Debt!U32</f>
        <v>12205.277782637986</v>
      </c>
      <c r="V20" s="90">
        <f ca="1">Debt!V32</f>
        <v>10171.064818864987</v>
      </c>
      <c r="W20" s="90">
        <f ca="1">Debt!W32</f>
        <v>8136.851855091988</v>
      </c>
      <c r="X20" s="90">
        <f ca="1">Debt!X32</f>
        <v>6102.6388913189894</v>
      </c>
      <c r="Y20" s="90">
        <f ca="1">Debt!Y32</f>
        <v>4068.4259275459908</v>
      </c>
      <c r="Z20" s="90">
        <f ca="1">Debt!Z32</f>
        <v>2034.2129637729922</v>
      </c>
      <c r="AA20" s="90">
        <f ca="1">Debt!AA32</f>
        <v>0</v>
      </c>
    </row>
    <row r="21" spans="1:27" ht="15" customHeight="1" x14ac:dyDescent="0.45">
      <c r="A21" s="82"/>
      <c r="B21" t="s">
        <v>148</v>
      </c>
      <c r="C21"/>
      <c r="D21"/>
      <c r="F21">
        <f ca="1">SUM(F17:F20)</f>
        <v>0</v>
      </c>
      <c r="G21">
        <f t="shared" ref="G21:K21" ca="1" si="23">SUM(G17:G20)</f>
        <v>122056.36088731547</v>
      </c>
      <c r="H21">
        <f t="shared" ca="1" si="23"/>
        <v>126321.7176965879</v>
      </c>
      <c r="I21">
        <f t="shared" ca="1" si="23"/>
        <v>127042.23187139491</v>
      </c>
      <c r="J21">
        <f t="shared" ca="1" si="23"/>
        <v>120695.68623708136</v>
      </c>
      <c r="K21">
        <f t="shared" ca="1" si="23"/>
        <v>113240.43685954751</v>
      </c>
      <c r="L21">
        <f t="shared" ref="L21:AA21" ca="1" si="24">SUM(L17:L20)</f>
        <v>105796.19561574282</v>
      </c>
      <c r="M21">
        <f t="shared" ca="1" si="24"/>
        <v>98363.402831016501</v>
      </c>
      <c r="N21">
        <f t="shared" ca="1" si="24"/>
        <v>90942.516443731656</v>
      </c>
      <c r="O21">
        <f t="shared" ca="1" si="24"/>
        <v>83534.012709785966</v>
      </c>
      <c r="P21">
        <f t="shared" ca="1" si="24"/>
        <v>76138.386935312985</v>
      </c>
      <c r="Q21">
        <f t="shared" ca="1" si="24"/>
        <v>68756.154238691626</v>
      </c>
      <c r="R21">
        <f t="shared" ca="1" si="24"/>
        <v>61387.850343035949</v>
      </c>
      <c r="S21">
        <f t="shared" ca="1" si="24"/>
        <v>54034.032400384574</v>
      </c>
      <c r="T21">
        <f t="shared" ca="1" si="24"/>
        <v>46695.279848857695</v>
      </c>
      <c r="U21">
        <f t="shared" ca="1" si="24"/>
        <v>39372.195304100285</v>
      </c>
      <c r="V21">
        <f t="shared" ca="1" si="24"/>
        <v>32065.405486383119</v>
      </c>
      <c r="W21">
        <f t="shared" ca="1" si="24"/>
        <v>24775.562184787803</v>
      </c>
      <c r="X21">
        <f t="shared" ca="1" si="24"/>
        <v>17499.851024853684</v>
      </c>
      <c r="Y21">
        <f t="shared" ca="1" si="24"/>
        <v>15226.426253162874</v>
      </c>
      <c r="Z21">
        <f t="shared" ca="1" si="24"/>
        <v>13687.666054971152</v>
      </c>
      <c r="AA21">
        <f t="shared" ca="1" si="24"/>
        <v>12167.502727649902</v>
      </c>
    </row>
    <row r="22" spans="1:27" ht="15" customHeight="1" x14ac:dyDescent="0.45">
      <c r="A22" s="82"/>
      <c r="B22"/>
      <c r="C22"/>
      <c r="D22"/>
    </row>
    <row r="23" spans="1:27" ht="15" customHeight="1" x14ac:dyDescent="0.45">
      <c r="A23" s="82"/>
      <c r="B23" t="s">
        <v>149</v>
      </c>
      <c r="C23"/>
      <c r="D23"/>
      <c r="F23">
        <f ca="1">'Sources and Uses'!F61</f>
        <v>44561.919999999998</v>
      </c>
      <c r="G23">
        <f ca="1">'Sources and Uses'!G61</f>
        <v>122052.7778263799</v>
      </c>
      <c r="H23">
        <f ca="1">'Sources and Uses'!H61</f>
        <v>122052.7778263799</v>
      </c>
      <c r="I23">
        <f ca="1">'Sources and Uses'!I61</f>
        <v>122052.7778263799</v>
      </c>
      <c r="J23">
        <f ca="1">'Sources and Uses'!J61</f>
        <v>122052.7778263799</v>
      </c>
      <c r="K23">
        <f ca="1">'Sources and Uses'!K61</f>
        <v>122052.7778263799</v>
      </c>
      <c r="L23">
        <f ca="1">'Sources and Uses'!L61</f>
        <v>122052.7778263799</v>
      </c>
      <c r="M23">
        <f ca="1">'Sources and Uses'!M61</f>
        <v>122052.7778263799</v>
      </c>
      <c r="N23">
        <f ca="1">'Sources and Uses'!N61</f>
        <v>122052.7778263799</v>
      </c>
      <c r="O23">
        <f ca="1">'Sources and Uses'!O61</f>
        <v>122052.7778263799</v>
      </c>
      <c r="P23">
        <f ca="1">'Sources and Uses'!P61</f>
        <v>122052.7778263799</v>
      </c>
      <c r="Q23">
        <f ca="1">'Sources and Uses'!Q61</f>
        <v>122052.7778263799</v>
      </c>
      <c r="R23">
        <f ca="1">'Sources and Uses'!R61</f>
        <v>122052.7778263799</v>
      </c>
      <c r="S23">
        <f ca="1">'Sources and Uses'!S61</f>
        <v>122052.7778263799</v>
      </c>
      <c r="T23">
        <f ca="1">'Sources and Uses'!T61</f>
        <v>122052.7778263799</v>
      </c>
      <c r="U23">
        <f ca="1">'Sources and Uses'!U61</f>
        <v>122052.7778263799</v>
      </c>
      <c r="V23">
        <f ca="1">'Sources and Uses'!V61</f>
        <v>122052.7778263799</v>
      </c>
      <c r="W23">
        <f ca="1">'Sources and Uses'!W61</f>
        <v>122052.7778263799</v>
      </c>
      <c r="X23">
        <f ca="1">'Sources and Uses'!X61</f>
        <v>122052.7778263799</v>
      </c>
      <c r="Y23">
        <f ca="1">'Sources and Uses'!Y61</f>
        <v>122052.7778263799</v>
      </c>
      <c r="Z23">
        <f ca="1">'Sources and Uses'!Z61</f>
        <v>122052.7778263799</v>
      </c>
      <c r="AA23">
        <f ca="1">'Sources and Uses'!AA61</f>
        <v>122052.7778263799</v>
      </c>
    </row>
    <row r="24" spans="1:27" ht="15" customHeight="1" x14ac:dyDescent="0.45">
      <c r="A24" s="82"/>
      <c r="B24" t="s">
        <v>160</v>
      </c>
      <c r="C24"/>
      <c r="D24"/>
      <c r="F24">
        <f ca="1">F9</f>
        <v>0</v>
      </c>
      <c r="G24">
        <f t="shared" ref="G24:K24" ca="1" si="25">G9</f>
        <v>21.49836561339098</v>
      </c>
      <c r="H24">
        <f t="shared" ca="1" si="25"/>
        <v>-12646.577422840262</v>
      </c>
      <c r="I24">
        <f t="shared" ca="1" si="25"/>
        <v>-17080.003363058961</v>
      </c>
      <c r="J24">
        <f t="shared" ca="1" si="25"/>
        <v>-22204.840644209085</v>
      </c>
      <c r="K24">
        <f t="shared" ca="1" si="25"/>
        <v>-26904.630446950046</v>
      </c>
      <c r="L24">
        <f t="shared" ref="L24:AA24" ca="1" si="26">L9</f>
        <v>-31609.392867701325</v>
      </c>
      <c r="M24">
        <f t="shared" ca="1" si="26"/>
        <v>-36319.326811183346</v>
      </c>
      <c r="N24">
        <f t="shared" ca="1" si="26"/>
        <v>-41034.639138305341</v>
      </c>
      <c r="O24">
        <f t="shared" ca="1" si="26"/>
        <v>-45755.544984412903</v>
      </c>
      <c r="P24">
        <f t="shared" ca="1" si="26"/>
        <v>-50482.268090265454</v>
      </c>
      <c r="Q24">
        <f t="shared" ca="1" si="26"/>
        <v>-55215.041146252785</v>
      </c>
      <c r="R24">
        <f t="shared" ca="1" si="26"/>
        <v>-59954.106150380314</v>
      </c>
      <c r="S24">
        <f t="shared" ca="1" si="26"/>
        <v>-64699.714780573617</v>
      </c>
      <c r="T24">
        <f t="shared" ca="1" si="26"/>
        <v>-69452.128781875334</v>
      </c>
      <c r="U24">
        <f t="shared" ca="1" si="26"/>
        <v>-74211.620369129814</v>
      </c>
      <c r="V24">
        <f t="shared" ca="1" si="26"/>
        <v>-78978.472645775153</v>
      </c>
      <c r="W24">
        <f t="shared" ca="1" si="26"/>
        <v>-83752.980039387025</v>
      </c>
      <c r="X24">
        <f t="shared" ca="1" si="26"/>
        <v>-94147.470569274607</v>
      </c>
      <c r="Y24">
        <f t="shared" ca="1" si="26"/>
        <v>-104188.35211634458</v>
      </c>
      <c r="Z24">
        <f t="shared" ca="1" si="26"/>
        <v>-114447.38414819649</v>
      </c>
      <c r="AA24">
        <f t="shared" ca="1" si="26"/>
        <v>-126689.01839970221</v>
      </c>
    </row>
    <row r="25" spans="1:27" ht="15" customHeight="1" x14ac:dyDescent="0.45">
      <c r="A25" s="82"/>
      <c r="B25" t="s">
        <v>150</v>
      </c>
      <c r="C25"/>
      <c r="D25"/>
      <c r="F25">
        <f ca="1">F21+SUM(F23:F24)</f>
        <v>44561.919999999998</v>
      </c>
      <c r="G25">
        <f t="shared" ref="G25:K25" ca="1" si="27">G21+SUM(G23:G24)</f>
        <v>244130.63707930874</v>
      </c>
      <c r="H25">
        <f t="shared" ca="1" si="27"/>
        <v>235727.91810012754</v>
      </c>
      <c r="I25">
        <f t="shared" ca="1" si="27"/>
        <v>232015.00633471584</v>
      </c>
      <c r="J25">
        <f t="shared" ca="1" si="27"/>
        <v>220543.62341925217</v>
      </c>
      <c r="K25">
        <f t="shared" ca="1" si="27"/>
        <v>208388.58423897735</v>
      </c>
      <c r="L25">
        <f t="shared" ref="L25:AA25" ca="1" si="28">L21+SUM(L23:L24)</f>
        <v>196239.58057442139</v>
      </c>
      <c r="M25">
        <f t="shared" ca="1" si="28"/>
        <v>184096.85384621305</v>
      </c>
      <c r="N25">
        <f t="shared" ca="1" si="28"/>
        <v>171960.65513180621</v>
      </c>
      <c r="O25">
        <f t="shared" ca="1" si="28"/>
        <v>159831.24555175297</v>
      </c>
      <c r="P25">
        <f t="shared" ca="1" si="28"/>
        <v>147708.89667142741</v>
      </c>
      <c r="Q25">
        <f t="shared" ca="1" si="28"/>
        <v>135593.89091881874</v>
      </c>
      <c r="R25">
        <f t="shared" ca="1" si="28"/>
        <v>123486.52201903553</v>
      </c>
      <c r="S25">
        <f t="shared" ca="1" si="28"/>
        <v>111387.09544619086</v>
      </c>
      <c r="T25">
        <f t="shared" ca="1" si="28"/>
        <v>99295.928893362259</v>
      </c>
      <c r="U25">
        <f t="shared" ca="1" si="28"/>
        <v>87213.352761350368</v>
      </c>
      <c r="V25">
        <f t="shared" ca="1" si="28"/>
        <v>75139.71066698787</v>
      </c>
      <c r="W25">
        <f t="shared" ca="1" si="28"/>
        <v>63075.359971780679</v>
      </c>
      <c r="X25">
        <f t="shared" ca="1" si="28"/>
        <v>45405.158281958975</v>
      </c>
      <c r="Y25">
        <f t="shared" ca="1" si="28"/>
        <v>33090.851963198191</v>
      </c>
      <c r="Z25">
        <f t="shared" ca="1" si="28"/>
        <v>21293.059733154558</v>
      </c>
      <c r="AA25">
        <f t="shared" ca="1" si="28"/>
        <v>7531.2621543275891</v>
      </c>
    </row>
    <row r="26" spans="1:27" ht="15" customHeight="1" x14ac:dyDescent="0.45">
      <c r="A26" s="82"/>
      <c r="B26"/>
      <c r="C26"/>
      <c r="D26"/>
    </row>
    <row r="27" spans="1:27" ht="15" customHeight="1" x14ac:dyDescent="0.45">
      <c r="A27" s="82"/>
      <c r="B27" t="s">
        <v>151</v>
      </c>
      <c r="C27"/>
      <c r="D27"/>
      <c r="F27">
        <f ca="1">F25-F15</f>
        <v>0</v>
      </c>
      <c r="G27">
        <f t="shared" ref="G27:K27" ca="1" si="29">G25-G15</f>
        <v>0</v>
      </c>
      <c r="H27">
        <f t="shared" ca="1" si="29"/>
        <v>0</v>
      </c>
      <c r="I27">
        <f t="shared" ca="1" si="29"/>
        <v>0</v>
      </c>
      <c r="J27">
        <f t="shared" ca="1" si="29"/>
        <v>0</v>
      </c>
      <c r="K27">
        <f t="shared" ca="1" si="29"/>
        <v>0</v>
      </c>
      <c r="L27">
        <f t="shared" ref="L27:AA27" ca="1" si="30">L25-L15</f>
        <v>0</v>
      </c>
      <c r="M27">
        <f t="shared" ca="1" si="30"/>
        <v>0</v>
      </c>
      <c r="N27">
        <f t="shared" ca="1" si="30"/>
        <v>0</v>
      </c>
      <c r="O27">
        <f t="shared" ca="1" si="30"/>
        <v>0</v>
      </c>
      <c r="P27">
        <f t="shared" ca="1" si="30"/>
        <v>0</v>
      </c>
      <c r="Q27">
        <f t="shared" ca="1" si="30"/>
        <v>0</v>
      </c>
      <c r="R27">
        <f t="shared" ca="1" si="30"/>
        <v>0</v>
      </c>
      <c r="S27">
        <f t="shared" ca="1" si="30"/>
        <v>0</v>
      </c>
      <c r="T27">
        <f t="shared" ca="1" si="30"/>
        <v>0</v>
      </c>
      <c r="U27">
        <f t="shared" ca="1" si="30"/>
        <v>1.1641532182693481E-10</v>
      </c>
      <c r="V27">
        <f t="shared" ca="1" si="30"/>
        <v>1.3096723705530167E-10</v>
      </c>
      <c r="W27">
        <f t="shared" ca="1" si="30"/>
        <v>1.3096723705530167E-10</v>
      </c>
      <c r="X27">
        <f t="shared" ca="1" si="30"/>
        <v>1.3824319466948509E-10</v>
      </c>
      <c r="Y27">
        <f t="shared" ca="1" si="30"/>
        <v>1.3096723705530167E-10</v>
      </c>
      <c r="Z27">
        <f t="shared" ca="1" si="30"/>
        <v>1.2369127944111824E-10</v>
      </c>
      <c r="AA27">
        <f t="shared" ca="1" si="30"/>
        <v>1.1823431123048067E-10</v>
      </c>
    </row>
    <row r="28" spans="1:27" ht="15" customHeight="1" x14ac:dyDescent="0.45">
      <c r="A28" s="82"/>
      <c r="B28"/>
      <c r="C28"/>
      <c r="D28"/>
      <c r="L28" t="str">
        <f t="shared" ca="1" si="1"/>
        <v/>
      </c>
    </row>
    <row r="29" spans="1:27" ht="15" customHeight="1" x14ac:dyDescent="0.45">
      <c r="A29" s="59" t="s">
        <v>43</v>
      </c>
      <c r="B29"/>
      <c r="C29"/>
      <c r="D29"/>
      <c r="L29" t="str">
        <f t="shared" ca="1" si="1"/>
        <v/>
      </c>
    </row>
    <row r="30" spans="1:27" ht="15" customHeight="1" x14ac:dyDescent="0.45">
      <c r="A30" s="82"/>
      <c r="B30"/>
      <c r="C30" s="77"/>
      <c r="D30"/>
      <c r="L30" t="str">
        <f t="shared" ca="1" si="1"/>
        <v/>
      </c>
    </row>
    <row r="31" spans="1:27" ht="15" customHeight="1" x14ac:dyDescent="0.45">
      <c r="A31" s="82"/>
      <c r="B31"/>
      <c r="C31" s="77"/>
      <c r="D31"/>
      <c r="L31" t="str">
        <f t="shared" ca="1" si="1"/>
        <v/>
      </c>
    </row>
    <row r="32" spans="1:27" ht="15" customHeight="1" x14ac:dyDescent="0.45">
      <c r="A32" s="82"/>
      <c r="B32"/>
      <c r="C32" s="77"/>
      <c r="D32"/>
      <c r="L32" t="str">
        <f t="shared" ca="1" si="1"/>
        <v/>
      </c>
    </row>
    <row r="33" spans="1:12" ht="15" customHeight="1" x14ac:dyDescent="0.45">
      <c r="A33" s="82"/>
      <c r="B33"/>
      <c r="C33" s="77"/>
      <c r="D33"/>
      <c r="L33" t="str">
        <f t="shared" ca="1" si="1"/>
        <v/>
      </c>
    </row>
    <row r="34" spans="1:12" ht="15" customHeight="1" x14ac:dyDescent="0.45">
      <c r="A34" s="82"/>
      <c r="B34"/>
      <c r="C34" s="77"/>
      <c r="D34"/>
      <c r="L34" t="str">
        <f t="shared" ca="1" si="1"/>
        <v/>
      </c>
    </row>
    <row r="35" spans="1:12" ht="15" customHeight="1" x14ac:dyDescent="0.45">
      <c r="A35" s="82"/>
      <c r="B35"/>
      <c r="C35" s="77"/>
      <c r="D35"/>
      <c r="L35" t="str">
        <f t="shared" ca="1" si="1"/>
        <v/>
      </c>
    </row>
    <row r="36" spans="1:12" ht="15" customHeight="1" x14ac:dyDescent="0.45">
      <c r="A36" s="82"/>
      <c r="B36"/>
      <c r="C36" s="77"/>
      <c r="D36"/>
      <c r="L36" t="str">
        <f t="shared" ca="1" si="1"/>
        <v/>
      </c>
    </row>
    <row r="37" spans="1:12" ht="15" customHeight="1" x14ac:dyDescent="0.45">
      <c r="A37" s="82"/>
      <c r="B37"/>
      <c r="C37" s="77"/>
      <c r="D37"/>
      <c r="L37" t="str">
        <f t="shared" ca="1" si="1"/>
        <v/>
      </c>
    </row>
    <row r="38" spans="1:12" ht="15" customHeight="1" x14ac:dyDescent="0.45">
      <c r="A38" s="82"/>
      <c r="B38"/>
      <c r="C38" s="77"/>
      <c r="D38"/>
      <c r="L38" t="str">
        <f t="shared" ca="1" si="1"/>
        <v/>
      </c>
    </row>
    <row r="39" spans="1:12" ht="15" customHeight="1" x14ac:dyDescent="0.45">
      <c r="A39" s="82"/>
      <c r="B39"/>
      <c r="C39" s="77"/>
      <c r="D39"/>
      <c r="L39" t="str">
        <f t="shared" ca="1" si="1"/>
        <v/>
      </c>
    </row>
    <row r="40" spans="1:12" ht="15" customHeight="1" x14ac:dyDescent="0.45">
      <c r="A40" s="82"/>
      <c r="B40"/>
      <c r="C40" s="77"/>
      <c r="D40"/>
    </row>
    <row r="41" spans="1:12" ht="15" customHeight="1" x14ac:dyDescent="0.45">
      <c r="A41" s="82"/>
      <c r="B41"/>
      <c r="C41" s="77"/>
      <c r="D41"/>
    </row>
    <row r="42" spans="1:12" ht="15" customHeight="1" x14ac:dyDescent="0.45">
      <c r="A42" s="82"/>
      <c r="B42"/>
      <c r="C42" s="77"/>
      <c r="D42"/>
    </row>
    <row r="43" spans="1:12" ht="15" customHeight="1" x14ac:dyDescent="0.45">
      <c r="A43" s="82"/>
      <c r="B43"/>
      <c r="C43" s="77"/>
      <c r="D43"/>
    </row>
    <row r="44" spans="1:12" ht="15" customHeight="1" x14ac:dyDescent="0.45">
      <c r="A44" s="82"/>
      <c r="B44"/>
      <c r="C44" s="77"/>
      <c r="D44"/>
    </row>
    <row r="45" spans="1:12" ht="15" customHeight="1" x14ac:dyDescent="0.45">
      <c r="A45" s="82"/>
      <c r="B45"/>
      <c r="C45" s="77"/>
      <c r="D45"/>
    </row>
    <row r="46" spans="1:12" ht="15" customHeight="1" x14ac:dyDescent="0.45">
      <c r="A46" s="82"/>
      <c r="B46"/>
      <c r="C46" s="77"/>
      <c r="D46"/>
    </row>
    <row r="47" spans="1:12" ht="15" customHeight="1" x14ac:dyDescent="0.45">
      <c r="A47" s="82"/>
      <c r="B47"/>
      <c r="C47" s="77"/>
      <c r="D47"/>
    </row>
    <row r="48" spans="1:12" ht="15" customHeight="1" x14ac:dyDescent="0.45">
      <c r="A48" s="82"/>
      <c r="B48"/>
      <c r="C48" s="77"/>
      <c r="D48"/>
    </row>
    <row r="49" spans="1:4" ht="15" customHeight="1" x14ac:dyDescent="0.45">
      <c r="A49" s="82"/>
      <c r="B49"/>
      <c r="C49" s="77"/>
      <c r="D49"/>
    </row>
    <row r="50" spans="1:4" ht="15" customHeight="1" x14ac:dyDescent="0.45">
      <c r="A50" s="82"/>
      <c r="B50"/>
      <c r="C50" s="77"/>
      <c r="D50"/>
    </row>
    <row r="51" spans="1:4" ht="15" customHeight="1" x14ac:dyDescent="0.45">
      <c r="A51" s="82"/>
      <c r="B51"/>
      <c r="C51" s="77"/>
      <c r="D51"/>
    </row>
    <row r="52" spans="1:4" ht="15" customHeight="1" x14ac:dyDescent="0.45">
      <c r="A52" s="82"/>
      <c r="B52"/>
      <c r="C52" s="77"/>
      <c r="D52"/>
    </row>
    <row r="53" spans="1:4" ht="15" customHeight="1" x14ac:dyDescent="0.45">
      <c r="A53" s="82"/>
      <c r="B53"/>
      <c r="C53" s="77"/>
      <c r="D53"/>
    </row>
    <row r="54" spans="1:4" ht="15" customHeight="1" x14ac:dyDescent="0.45">
      <c r="A54" s="82"/>
      <c r="B54"/>
      <c r="C54" s="77"/>
      <c r="D54"/>
    </row>
    <row r="55" spans="1:4" ht="15" customHeight="1" x14ac:dyDescent="0.45">
      <c r="A55" s="82"/>
      <c r="B55"/>
      <c r="C55" s="77"/>
      <c r="D55"/>
    </row>
    <row r="56" spans="1:4" ht="15" customHeight="1" x14ac:dyDescent="0.45">
      <c r="A56" s="82"/>
      <c r="B56"/>
      <c r="C56" s="77"/>
      <c r="D56"/>
    </row>
    <row r="57" spans="1:4" ht="15" customHeight="1" x14ac:dyDescent="0.45">
      <c r="A57" s="82"/>
      <c r="B57"/>
      <c r="C57" s="77"/>
      <c r="D57"/>
    </row>
    <row r="58" spans="1:4" ht="15" customHeight="1" x14ac:dyDescent="0.45">
      <c r="A58" s="82"/>
      <c r="B58"/>
      <c r="C58" s="77"/>
      <c r="D58"/>
    </row>
    <row r="59" spans="1:4" ht="15" customHeight="1" x14ac:dyDescent="0.45">
      <c r="A59" s="82"/>
      <c r="B59"/>
      <c r="C59" s="77"/>
      <c r="D59"/>
    </row>
    <row r="60" spans="1:4" ht="15" customHeight="1" x14ac:dyDescent="0.45">
      <c r="A60" s="82"/>
      <c r="B60"/>
      <c r="C60" s="77"/>
      <c r="D60"/>
    </row>
    <row r="61" spans="1:4" ht="15" customHeight="1" x14ac:dyDescent="0.45">
      <c r="A61" s="82"/>
      <c r="B61"/>
      <c r="C61" s="77"/>
      <c r="D61"/>
    </row>
    <row r="62" spans="1:4" ht="15" customHeight="1" x14ac:dyDescent="0.45">
      <c r="A62" s="82"/>
      <c r="B62"/>
      <c r="C62" s="77"/>
      <c r="D62"/>
    </row>
    <row r="63" spans="1:4" ht="15" customHeight="1" x14ac:dyDescent="0.45">
      <c r="A63" s="82"/>
      <c r="B63"/>
      <c r="C63" s="77"/>
      <c r="D63"/>
    </row>
    <row r="64" spans="1:4" ht="15" customHeight="1" x14ac:dyDescent="0.45">
      <c r="A64" s="82"/>
      <c r="B64"/>
      <c r="C64" s="77"/>
      <c r="D64"/>
    </row>
    <row r="65" spans="1:4" ht="15" customHeight="1" x14ac:dyDescent="0.45">
      <c r="A65" s="82"/>
      <c r="B65"/>
      <c r="C65" s="77"/>
      <c r="D65"/>
    </row>
    <row r="66" spans="1:4" ht="15" customHeight="1" x14ac:dyDescent="0.45">
      <c r="A66" s="82"/>
      <c r="B66"/>
      <c r="C66" s="77"/>
      <c r="D66"/>
    </row>
    <row r="67" spans="1:4" ht="15" customHeight="1" x14ac:dyDescent="0.45">
      <c r="A67" s="82"/>
      <c r="B67"/>
      <c r="C67" s="77"/>
      <c r="D67"/>
    </row>
    <row r="68" spans="1:4" ht="15" customHeight="1" x14ac:dyDescent="0.45">
      <c r="A68" s="82"/>
      <c r="B68"/>
      <c r="C68" s="77"/>
      <c r="D68"/>
    </row>
    <row r="69" spans="1:4" ht="15" customHeight="1" x14ac:dyDescent="0.45">
      <c r="A69" s="82"/>
      <c r="B69"/>
      <c r="C69" s="77"/>
      <c r="D69"/>
    </row>
    <row r="70" spans="1:4" ht="15" customHeight="1" x14ac:dyDescent="0.45">
      <c r="A70" s="82"/>
      <c r="B70"/>
      <c r="C70" s="77"/>
      <c r="D70"/>
    </row>
    <row r="71" spans="1:4" ht="15" customHeight="1" x14ac:dyDescent="0.45">
      <c r="A71" s="82"/>
      <c r="B71"/>
      <c r="C71" s="77"/>
      <c r="D71"/>
    </row>
    <row r="72" spans="1:4" ht="15" customHeight="1" x14ac:dyDescent="0.45">
      <c r="A72" s="82"/>
      <c r="B72"/>
      <c r="C72" s="77"/>
      <c r="D72"/>
    </row>
    <row r="73" spans="1:4" ht="15" customHeight="1" x14ac:dyDescent="0.45">
      <c r="A73" s="82"/>
      <c r="B73"/>
      <c r="C73" s="77"/>
      <c r="D73"/>
    </row>
    <row r="74" spans="1:4" ht="15" customHeight="1" x14ac:dyDescent="0.45">
      <c r="A74" s="82"/>
      <c r="B74"/>
      <c r="C74" s="77"/>
      <c r="D74"/>
    </row>
    <row r="75" spans="1:4" ht="15" customHeight="1" x14ac:dyDescent="0.45">
      <c r="A75" s="82"/>
      <c r="B75"/>
      <c r="C75" s="77"/>
      <c r="D75"/>
    </row>
    <row r="76" spans="1:4" ht="15" customHeight="1" x14ac:dyDescent="0.45">
      <c r="A76" s="82"/>
      <c r="B76"/>
      <c r="C76" s="77"/>
      <c r="D76"/>
    </row>
    <row r="77" spans="1:4" ht="15" customHeight="1" x14ac:dyDescent="0.45">
      <c r="A77" s="82"/>
      <c r="B77"/>
      <c r="C77" s="77"/>
      <c r="D77"/>
    </row>
    <row r="78" spans="1:4" ht="15" customHeight="1" x14ac:dyDescent="0.45">
      <c r="A78" s="82"/>
      <c r="B78"/>
      <c r="C78" s="77"/>
      <c r="D78"/>
    </row>
    <row r="79" spans="1:4" ht="15" customHeight="1" x14ac:dyDescent="0.45">
      <c r="A79" s="82"/>
      <c r="B79"/>
      <c r="C79" s="77"/>
      <c r="D79"/>
    </row>
    <row r="80" spans="1:4" ht="15" customHeight="1" x14ac:dyDescent="0.45">
      <c r="A80" s="82"/>
      <c r="B80"/>
      <c r="C80" s="77"/>
      <c r="D80"/>
    </row>
    <row r="81" spans="1:4" ht="15" customHeight="1" x14ac:dyDescent="0.45">
      <c r="A81" s="82"/>
      <c r="B81"/>
      <c r="C81" s="77"/>
      <c r="D81"/>
    </row>
    <row r="82" spans="1:4" ht="15" customHeight="1" x14ac:dyDescent="0.45">
      <c r="A82" s="82"/>
      <c r="B82"/>
      <c r="C82" s="77"/>
      <c r="D82"/>
    </row>
    <row r="83" spans="1:4" ht="15" customHeight="1" x14ac:dyDescent="0.45">
      <c r="A83" s="82"/>
      <c r="B83"/>
      <c r="C83" s="77"/>
      <c r="D83"/>
    </row>
    <row r="84" spans="1:4" ht="15" customHeight="1" x14ac:dyDescent="0.45">
      <c r="A84" s="82"/>
      <c r="B84"/>
      <c r="C84" s="77"/>
      <c r="D84"/>
    </row>
    <row r="85" spans="1:4" ht="15" customHeight="1" x14ac:dyDescent="0.45">
      <c r="A85" s="82"/>
      <c r="B85"/>
      <c r="C85" s="77"/>
      <c r="D85"/>
    </row>
    <row r="86" spans="1:4" ht="15" customHeight="1" x14ac:dyDescent="0.45">
      <c r="A86" s="82"/>
      <c r="B86"/>
      <c r="C86" s="77"/>
      <c r="D86"/>
    </row>
    <row r="87" spans="1:4" ht="15" customHeight="1" x14ac:dyDescent="0.45">
      <c r="A87" s="82"/>
      <c r="B87"/>
      <c r="C87" s="77"/>
      <c r="D87"/>
    </row>
    <row r="88" spans="1:4" ht="15" customHeight="1" x14ac:dyDescent="0.45">
      <c r="A88" s="82"/>
      <c r="B88"/>
      <c r="C88" s="77"/>
      <c r="D88"/>
    </row>
    <row r="89" spans="1:4" ht="15" customHeight="1" x14ac:dyDescent="0.45">
      <c r="A89" s="82"/>
      <c r="B89"/>
      <c r="C89" s="77"/>
      <c r="D89"/>
    </row>
    <row r="90" spans="1:4" ht="15" customHeight="1" x14ac:dyDescent="0.45">
      <c r="A90" s="82"/>
      <c r="B90"/>
      <c r="C90" s="77"/>
      <c r="D90"/>
    </row>
    <row r="91" spans="1:4" ht="15" customHeight="1" x14ac:dyDescent="0.45">
      <c r="A91" s="82"/>
      <c r="B91"/>
      <c r="C91" s="77"/>
      <c r="D91"/>
    </row>
    <row r="92" spans="1:4" ht="15" customHeight="1" x14ac:dyDescent="0.45">
      <c r="A92" s="82"/>
      <c r="B92"/>
      <c r="C92" s="77"/>
      <c r="D92"/>
    </row>
    <row r="93" spans="1:4" ht="15" customHeight="1" x14ac:dyDescent="0.45">
      <c r="A93" s="82"/>
      <c r="B93"/>
      <c r="C93" s="77"/>
      <c r="D93"/>
    </row>
    <row r="94" spans="1:4" ht="15" customHeight="1" x14ac:dyDescent="0.45">
      <c r="A94" s="82"/>
      <c r="B94"/>
      <c r="C94" s="77"/>
      <c r="D94"/>
    </row>
    <row r="95" spans="1:4" ht="15" customHeight="1" x14ac:dyDescent="0.45">
      <c r="A95" s="82"/>
      <c r="B95"/>
      <c r="C95" s="77"/>
      <c r="D95"/>
    </row>
    <row r="96" spans="1:4" ht="15" customHeight="1" x14ac:dyDescent="0.45">
      <c r="A96" s="82"/>
      <c r="B96"/>
      <c r="C96" s="77"/>
      <c r="D96"/>
    </row>
    <row r="97" spans="1:4" ht="15" customHeight="1" x14ac:dyDescent="0.45">
      <c r="A97" s="82"/>
      <c r="B97"/>
      <c r="C97" s="77"/>
      <c r="D97"/>
    </row>
    <row r="98" spans="1:4" ht="15" customHeight="1" x14ac:dyDescent="0.45">
      <c r="A98" s="82"/>
      <c r="B98"/>
      <c r="C98" s="77"/>
      <c r="D98"/>
    </row>
    <row r="99" spans="1:4" ht="15" customHeight="1" x14ac:dyDescent="0.45">
      <c r="A99" s="82"/>
      <c r="B99"/>
      <c r="C99" s="77"/>
      <c r="D99"/>
    </row>
    <row r="100" spans="1:4" ht="15" customHeight="1" x14ac:dyDescent="0.45">
      <c r="A100" s="82"/>
      <c r="B100"/>
      <c r="C100" s="77"/>
      <c r="D100"/>
    </row>
    <row r="101" spans="1:4" ht="15" customHeight="1" x14ac:dyDescent="0.45">
      <c r="A101" s="82"/>
      <c r="B101"/>
      <c r="C101" s="77"/>
      <c r="D101"/>
    </row>
    <row r="102" spans="1:4" ht="15" customHeight="1" x14ac:dyDescent="0.45">
      <c r="A102" s="82"/>
      <c r="B102"/>
      <c r="C102" s="77"/>
      <c r="D102"/>
    </row>
    <row r="103" spans="1:4" ht="15" customHeight="1" x14ac:dyDescent="0.45">
      <c r="A103" s="82"/>
      <c r="B103"/>
      <c r="C103" s="77"/>
      <c r="D103"/>
    </row>
    <row r="104" spans="1:4" ht="15" customHeight="1" x14ac:dyDescent="0.45">
      <c r="A104" s="82"/>
      <c r="B104"/>
      <c r="C104" s="77"/>
      <c r="D104"/>
    </row>
    <row r="105" spans="1:4" ht="15" customHeight="1" x14ac:dyDescent="0.45">
      <c r="A105" s="82"/>
      <c r="B105"/>
      <c r="C105" s="77"/>
      <c r="D105"/>
    </row>
    <row r="106" spans="1:4" ht="15" customHeight="1" x14ac:dyDescent="0.45">
      <c r="A106" s="82"/>
      <c r="B106"/>
      <c r="C106" s="77"/>
      <c r="D106"/>
    </row>
    <row r="107" spans="1:4" ht="15" customHeight="1" x14ac:dyDescent="0.45">
      <c r="A107" s="82"/>
      <c r="B107"/>
      <c r="C107" s="77"/>
      <c r="D107"/>
    </row>
    <row r="108" spans="1:4" ht="15" customHeight="1" x14ac:dyDescent="0.45">
      <c r="A108" s="82"/>
      <c r="B108"/>
      <c r="C108" s="77"/>
      <c r="D108"/>
    </row>
    <row r="109" spans="1:4" ht="15" customHeight="1" x14ac:dyDescent="0.45">
      <c r="A109" s="82"/>
      <c r="B109"/>
      <c r="C109" s="77"/>
      <c r="D109"/>
    </row>
    <row r="110" spans="1:4" ht="15" customHeight="1" x14ac:dyDescent="0.45">
      <c r="A110" s="82"/>
      <c r="B110"/>
      <c r="C110" s="77"/>
      <c r="D110"/>
    </row>
    <row r="111" spans="1:4" ht="15" customHeight="1" x14ac:dyDescent="0.45">
      <c r="A111" s="82"/>
      <c r="B111"/>
      <c r="C111" s="77"/>
      <c r="D111"/>
    </row>
    <row r="112" spans="1:4" ht="15" customHeight="1" x14ac:dyDescent="0.45">
      <c r="A112" s="82"/>
      <c r="B112"/>
      <c r="C112" s="77"/>
      <c r="D112"/>
    </row>
    <row r="113" spans="1:4" ht="15" customHeight="1" x14ac:dyDescent="0.45">
      <c r="A113" s="82"/>
      <c r="B113"/>
      <c r="C113" s="77"/>
      <c r="D113"/>
    </row>
    <row r="114" spans="1:4" ht="15" customHeight="1" x14ac:dyDescent="0.45">
      <c r="A114" s="82"/>
      <c r="B114"/>
      <c r="C114" s="77"/>
      <c r="D114"/>
    </row>
    <row r="115" spans="1:4" ht="15" customHeight="1" x14ac:dyDescent="0.45">
      <c r="A115" s="82"/>
      <c r="B115"/>
      <c r="C115" s="77"/>
      <c r="D115"/>
    </row>
    <row r="116" spans="1:4" ht="15" customHeight="1" x14ac:dyDescent="0.45">
      <c r="A116" s="82"/>
      <c r="B116"/>
      <c r="C116" s="77"/>
      <c r="D116"/>
    </row>
    <row r="117" spans="1:4" ht="15" customHeight="1" x14ac:dyDescent="0.45">
      <c r="A117" s="82"/>
      <c r="B117"/>
      <c r="C117" s="77"/>
      <c r="D117"/>
    </row>
    <row r="118" spans="1:4" ht="15" customHeight="1" x14ac:dyDescent="0.45">
      <c r="A118" s="82"/>
      <c r="B118"/>
      <c r="C118" s="77"/>
      <c r="D118"/>
    </row>
    <row r="119" spans="1:4" ht="15" customHeight="1" x14ac:dyDescent="0.45">
      <c r="A119" s="82"/>
      <c r="B119"/>
      <c r="C119" s="77"/>
      <c r="D119"/>
    </row>
    <row r="120" spans="1:4" ht="15" customHeight="1" x14ac:dyDescent="0.45">
      <c r="A120" s="82"/>
      <c r="B120"/>
      <c r="C120" s="77"/>
      <c r="D120"/>
    </row>
    <row r="121" spans="1:4" ht="15" customHeight="1" x14ac:dyDescent="0.45">
      <c r="A121" s="82"/>
      <c r="B121"/>
      <c r="C121" s="77"/>
      <c r="D121"/>
    </row>
    <row r="122" spans="1:4" ht="15" customHeight="1" x14ac:dyDescent="0.45">
      <c r="A122" s="82"/>
      <c r="B122"/>
      <c r="C122" s="77"/>
      <c r="D122"/>
    </row>
    <row r="123" spans="1:4" ht="15" customHeight="1" x14ac:dyDescent="0.45">
      <c r="A123" s="82"/>
      <c r="B123"/>
      <c r="C123" s="77"/>
      <c r="D123"/>
    </row>
    <row r="124" spans="1:4" ht="15" customHeight="1" x14ac:dyDescent="0.45">
      <c r="A124" s="82"/>
      <c r="B124"/>
      <c r="C124" s="77"/>
      <c r="D124"/>
    </row>
    <row r="125" spans="1:4" ht="15" customHeight="1" x14ac:dyDescent="0.45">
      <c r="A125" s="82"/>
      <c r="B125"/>
      <c r="C125" s="77"/>
      <c r="D125"/>
    </row>
    <row r="126" spans="1:4" ht="15" customHeight="1" x14ac:dyDescent="0.45">
      <c r="A126" s="82"/>
      <c r="B126"/>
      <c r="C126" s="77"/>
      <c r="D126"/>
    </row>
    <row r="127" spans="1:4" ht="15" customHeight="1" x14ac:dyDescent="0.45">
      <c r="A127" s="82"/>
      <c r="B127"/>
      <c r="C127" s="77"/>
      <c r="D127"/>
    </row>
    <row r="128" spans="1:4" ht="15" customHeight="1" x14ac:dyDescent="0.45">
      <c r="A128" s="82"/>
      <c r="B128"/>
      <c r="C128" s="77"/>
      <c r="D128"/>
    </row>
    <row r="129" spans="1:4" ht="15" customHeight="1" x14ac:dyDescent="0.45">
      <c r="A129" s="82"/>
      <c r="B129"/>
      <c r="C129" s="77"/>
      <c r="D129"/>
    </row>
    <row r="130" spans="1:4" ht="15" customHeight="1" x14ac:dyDescent="0.45">
      <c r="A130" s="82"/>
      <c r="B130"/>
      <c r="C130" s="77"/>
      <c r="D130"/>
    </row>
    <row r="131" spans="1:4" ht="15" customHeight="1" x14ac:dyDescent="0.45">
      <c r="A131" s="82"/>
      <c r="B131"/>
      <c r="C131" s="77"/>
      <c r="D131"/>
    </row>
    <row r="132" spans="1:4" ht="15" customHeight="1" x14ac:dyDescent="0.45">
      <c r="A132" s="82"/>
      <c r="B132"/>
      <c r="C132" s="77"/>
      <c r="D132"/>
    </row>
    <row r="133" spans="1:4" ht="15" customHeight="1" x14ac:dyDescent="0.45">
      <c r="A133" s="82"/>
      <c r="B133"/>
      <c r="C133" s="77"/>
      <c r="D133"/>
    </row>
    <row r="134" spans="1:4" ht="15" customHeight="1" x14ac:dyDescent="0.45">
      <c r="A134" s="82"/>
      <c r="B134"/>
      <c r="C134" s="77"/>
      <c r="D134"/>
    </row>
    <row r="135" spans="1:4" ht="15" customHeight="1" x14ac:dyDescent="0.45">
      <c r="A135" s="82"/>
      <c r="B135"/>
      <c r="C135" s="77"/>
      <c r="D135"/>
    </row>
    <row r="136" spans="1:4" ht="15" customHeight="1" x14ac:dyDescent="0.45">
      <c r="A136" s="82"/>
      <c r="B136"/>
      <c r="C136" s="77"/>
      <c r="D136"/>
    </row>
    <row r="137" spans="1:4" ht="15" customHeight="1" x14ac:dyDescent="0.45">
      <c r="A137" s="82"/>
      <c r="B137"/>
      <c r="C137" s="77"/>
      <c r="D137"/>
    </row>
    <row r="138" spans="1:4" ht="15" customHeight="1" x14ac:dyDescent="0.45">
      <c r="A138" s="82"/>
      <c r="B138"/>
      <c r="C138" s="77"/>
      <c r="D138"/>
    </row>
    <row r="139" spans="1:4" ht="15" customHeight="1" x14ac:dyDescent="0.45">
      <c r="A139" s="82"/>
      <c r="B139"/>
      <c r="C139" s="77"/>
      <c r="D139"/>
    </row>
    <row r="140" spans="1:4" ht="15" customHeight="1" x14ac:dyDescent="0.45">
      <c r="A140" s="82"/>
      <c r="B140"/>
      <c r="C140" s="77"/>
      <c r="D140"/>
    </row>
    <row r="141" spans="1:4" ht="15" customHeight="1" x14ac:dyDescent="0.45">
      <c r="A141" s="82"/>
      <c r="B141"/>
      <c r="C141" s="77"/>
      <c r="D141"/>
    </row>
    <row r="142" spans="1:4" ht="15" customHeight="1" x14ac:dyDescent="0.45">
      <c r="A142" s="82"/>
      <c r="B142"/>
      <c r="C142" s="77"/>
      <c r="D142"/>
    </row>
    <row r="143" spans="1:4" ht="15" customHeight="1" x14ac:dyDescent="0.45">
      <c r="A143" s="82"/>
      <c r="B143"/>
      <c r="C143" s="77"/>
      <c r="D143"/>
    </row>
    <row r="144" spans="1:4" ht="15" customHeight="1" x14ac:dyDescent="0.45">
      <c r="A144" s="82"/>
      <c r="B144"/>
      <c r="C144" s="77"/>
      <c r="D144"/>
    </row>
    <row r="145" spans="1:4" ht="15" customHeight="1" x14ac:dyDescent="0.45">
      <c r="A145" s="82"/>
      <c r="B145"/>
      <c r="C145" s="77"/>
      <c r="D145"/>
    </row>
    <row r="146" spans="1:4" ht="15" customHeight="1" x14ac:dyDescent="0.45">
      <c r="A146" s="82"/>
      <c r="B146"/>
      <c r="C146" s="77"/>
      <c r="D146"/>
    </row>
    <row r="147" spans="1:4" ht="15" customHeight="1" x14ac:dyDescent="0.45">
      <c r="A147" s="82"/>
      <c r="B147"/>
      <c r="C147" s="77"/>
      <c r="D147"/>
    </row>
    <row r="148" spans="1:4" ht="15" customHeight="1" x14ac:dyDescent="0.45">
      <c r="A148" s="82"/>
      <c r="B148"/>
      <c r="C148" s="77"/>
      <c r="D148"/>
    </row>
    <row r="149" spans="1:4" ht="15" customHeight="1" x14ac:dyDescent="0.45">
      <c r="A149" s="82"/>
      <c r="B149"/>
      <c r="C149" s="77"/>
      <c r="D149"/>
    </row>
    <row r="150" spans="1:4" ht="15" customHeight="1" x14ac:dyDescent="0.45">
      <c r="A150" s="82"/>
      <c r="B150"/>
      <c r="C150" s="77"/>
      <c r="D150"/>
    </row>
    <row r="151" spans="1:4" ht="15" customHeight="1" x14ac:dyDescent="0.45">
      <c r="A151" s="82"/>
      <c r="B151"/>
      <c r="C151" s="77"/>
      <c r="D151"/>
    </row>
    <row r="152" spans="1:4" ht="15" customHeight="1" x14ac:dyDescent="0.45">
      <c r="A152" s="82"/>
      <c r="B152"/>
      <c r="C152" s="77"/>
      <c r="D152"/>
    </row>
    <row r="153" spans="1:4" ht="15" customHeight="1" x14ac:dyDescent="0.45">
      <c r="A153" s="82"/>
      <c r="B153"/>
      <c r="C153" s="77"/>
      <c r="D153"/>
    </row>
    <row r="154" spans="1:4" ht="15" customHeight="1" x14ac:dyDescent="0.45">
      <c r="A154" s="82"/>
      <c r="B154"/>
      <c r="C154" s="77"/>
      <c r="D154"/>
    </row>
    <row r="155" spans="1:4" ht="15" customHeight="1" x14ac:dyDescent="0.45">
      <c r="A155" s="82"/>
      <c r="B155"/>
      <c r="C155" s="77"/>
      <c r="D155"/>
    </row>
    <row r="156" spans="1:4" ht="15" customHeight="1" x14ac:dyDescent="0.45">
      <c r="A156" s="82"/>
      <c r="B156"/>
      <c r="C156" s="77"/>
      <c r="D156"/>
    </row>
    <row r="157" spans="1:4" ht="15" customHeight="1" x14ac:dyDescent="0.45">
      <c r="A157" s="82"/>
      <c r="B157"/>
      <c r="C157" s="77"/>
      <c r="D157"/>
    </row>
    <row r="158" spans="1:4" ht="15" customHeight="1" x14ac:dyDescent="0.45">
      <c r="A158" s="82"/>
      <c r="B158"/>
      <c r="C158" s="77"/>
      <c r="D158"/>
    </row>
    <row r="159" spans="1:4" ht="15" customHeight="1" x14ac:dyDescent="0.45">
      <c r="A159" s="82"/>
      <c r="B159"/>
      <c r="C159" s="77"/>
      <c r="D159"/>
    </row>
    <row r="160" spans="1:4" ht="15" customHeight="1" x14ac:dyDescent="0.45">
      <c r="A160" s="82"/>
      <c r="B160"/>
      <c r="C160" s="77"/>
      <c r="D160"/>
    </row>
    <row r="161" spans="1:4" ht="15" customHeight="1" x14ac:dyDescent="0.45">
      <c r="A161" s="82"/>
      <c r="B161"/>
      <c r="C161" s="77"/>
      <c r="D161"/>
    </row>
    <row r="162" spans="1:4" ht="15" customHeight="1" x14ac:dyDescent="0.45">
      <c r="A162" s="82"/>
      <c r="B162"/>
      <c r="C162" s="77"/>
      <c r="D162"/>
    </row>
    <row r="163" spans="1:4" ht="15" customHeight="1" x14ac:dyDescent="0.45">
      <c r="A163" s="82"/>
      <c r="B163"/>
      <c r="C163" s="77"/>
      <c r="D163"/>
    </row>
    <row r="164" spans="1:4" ht="15" customHeight="1" x14ac:dyDescent="0.45">
      <c r="A164" s="82"/>
      <c r="B164"/>
      <c r="C164" s="77"/>
      <c r="D164"/>
    </row>
    <row r="165" spans="1:4" ht="15" customHeight="1" x14ac:dyDescent="0.45">
      <c r="A165" s="82"/>
      <c r="B165"/>
      <c r="C165" s="77"/>
      <c r="D165"/>
    </row>
    <row r="166" spans="1:4" ht="15" customHeight="1" x14ac:dyDescent="0.45">
      <c r="A166" s="82"/>
      <c r="B166"/>
      <c r="C166" s="77"/>
      <c r="D166"/>
    </row>
    <row r="167" spans="1:4" ht="15" customHeight="1" x14ac:dyDescent="0.45">
      <c r="A167" s="82"/>
      <c r="B167"/>
      <c r="C167" s="77"/>
      <c r="D167"/>
    </row>
    <row r="168" spans="1:4" ht="15" customHeight="1" x14ac:dyDescent="0.45">
      <c r="A168" s="82"/>
      <c r="B168"/>
      <c r="C168" s="77"/>
      <c r="D168"/>
    </row>
    <row r="169" spans="1:4" ht="15" customHeight="1" x14ac:dyDescent="0.45">
      <c r="A169" s="82"/>
      <c r="B169"/>
      <c r="C169" s="77"/>
      <c r="D169"/>
    </row>
    <row r="170" spans="1:4" ht="15" customHeight="1" x14ac:dyDescent="0.45">
      <c r="A170" s="82"/>
      <c r="B170"/>
      <c r="C170" s="77"/>
      <c r="D170"/>
    </row>
    <row r="171" spans="1:4" ht="15" customHeight="1" x14ac:dyDescent="0.45">
      <c r="A171" s="82"/>
      <c r="B171"/>
      <c r="C171" s="77"/>
      <c r="D171"/>
    </row>
    <row r="172" spans="1:4" ht="15" customHeight="1" x14ac:dyDescent="0.45">
      <c r="A172" s="82"/>
      <c r="B172"/>
      <c r="C172" s="77"/>
      <c r="D172"/>
    </row>
    <row r="173" spans="1:4" ht="15" customHeight="1" x14ac:dyDescent="0.45">
      <c r="A173" s="82"/>
      <c r="B173"/>
      <c r="C173" s="77"/>
      <c r="D173"/>
    </row>
    <row r="174" spans="1:4" ht="15" customHeight="1" x14ac:dyDescent="0.45">
      <c r="A174" s="82"/>
      <c r="B174"/>
      <c r="C174"/>
      <c r="D174"/>
    </row>
    <row r="175" spans="1:4" ht="15" customHeight="1" x14ac:dyDescent="0.45">
      <c r="A175" s="82"/>
      <c r="B175"/>
      <c r="C175"/>
      <c r="D175"/>
    </row>
    <row r="176" spans="1:4" ht="15" customHeight="1" x14ac:dyDescent="0.45">
      <c r="A176" s="82"/>
      <c r="B176"/>
      <c r="C176"/>
      <c r="D176"/>
    </row>
    <row r="177" spans="1:4" ht="15" customHeight="1" x14ac:dyDescent="0.45">
      <c r="A177" s="82"/>
      <c r="B177"/>
      <c r="C177"/>
      <c r="D177"/>
    </row>
    <row r="178" spans="1:4" ht="15" customHeight="1" x14ac:dyDescent="0.45">
      <c r="A178" s="82"/>
      <c r="B178"/>
      <c r="C178"/>
      <c r="D178"/>
    </row>
    <row r="179" spans="1:4" ht="15" customHeight="1" x14ac:dyDescent="0.45">
      <c r="A179" s="82"/>
      <c r="B179"/>
      <c r="C179"/>
      <c r="D179"/>
    </row>
    <row r="180" spans="1:4" ht="15" customHeight="1" x14ac:dyDescent="0.45">
      <c r="A180" s="82"/>
      <c r="B180"/>
      <c r="C180"/>
      <c r="D180"/>
    </row>
    <row r="181" spans="1:4" ht="15" customHeight="1" x14ac:dyDescent="0.45">
      <c r="A181" s="82"/>
      <c r="B181"/>
      <c r="C181"/>
      <c r="D181"/>
    </row>
    <row r="182" spans="1:4" ht="15" customHeight="1" x14ac:dyDescent="0.45">
      <c r="A182" s="82"/>
      <c r="B182"/>
      <c r="C182"/>
      <c r="D182"/>
    </row>
    <row r="183" spans="1:4" ht="15" customHeight="1" x14ac:dyDescent="0.45">
      <c r="A183" s="82"/>
      <c r="B183"/>
      <c r="C183"/>
      <c r="D183"/>
    </row>
    <row r="184" spans="1:4" ht="15" customHeight="1" x14ac:dyDescent="0.45">
      <c r="A184" s="82"/>
      <c r="B184"/>
      <c r="C184"/>
      <c r="D184"/>
    </row>
    <row r="185" spans="1:4" ht="15" customHeight="1" x14ac:dyDescent="0.45">
      <c r="A185" s="82"/>
      <c r="B185"/>
      <c r="C185"/>
      <c r="D185"/>
    </row>
    <row r="186" spans="1:4" ht="15" customHeight="1" x14ac:dyDescent="0.45">
      <c r="A186" s="82"/>
      <c r="B186"/>
      <c r="C186"/>
      <c r="D186"/>
    </row>
    <row r="187" spans="1:4" ht="15" customHeight="1" x14ac:dyDescent="0.45">
      <c r="A187" s="82"/>
      <c r="B187"/>
      <c r="C187"/>
      <c r="D187"/>
    </row>
    <row r="188" spans="1:4" ht="15" customHeight="1" x14ac:dyDescent="0.45">
      <c r="A188" s="82"/>
      <c r="B188"/>
      <c r="C188"/>
      <c r="D188"/>
    </row>
    <row r="189" spans="1:4" ht="15" customHeight="1" x14ac:dyDescent="0.45">
      <c r="A189" s="82"/>
      <c r="B189"/>
      <c r="C189"/>
      <c r="D189"/>
    </row>
    <row r="190" spans="1:4" ht="15" customHeight="1" x14ac:dyDescent="0.45">
      <c r="A190" s="82"/>
      <c r="B190"/>
      <c r="C190"/>
      <c r="D190"/>
    </row>
    <row r="191" spans="1:4" ht="15" customHeight="1" x14ac:dyDescent="0.45">
      <c r="A191" s="82"/>
      <c r="B191"/>
      <c r="C191"/>
      <c r="D191"/>
    </row>
    <row r="192" spans="1:4" ht="15" customHeight="1" x14ac:dyDescent="0.45">
      <c r="A192" s="82"/>
      <c r="B192"/>
      <c r="C192"/>
      <c r="D192"/>
    </row>
    <row r="193" spans="1:4" ht="15" customHeight="1" x14ac:dyDescent="0.45">
      <c r="A193" s="82"/>
      <c r="B193"/>
      <c r="C193"/>
      <c r="D193"/>
    </row>
    <row r="194" spans="1:4" ht="15" customHeight="1" x14ac:dyDescent="0.45">
      <c r="A194" s="82"/>
      <c r="B194"/>
      <c r="C194"/>
      <c r="D194"/>
    </row>
    <row r="195" spans="1:4" ht="15" customHeight="1" x14ac:dyDescent="0.45">
      <c r="A195" s="82"/>
      <c r="B195"/>
      <c r="C195"/>
      <c r="D195"/>
    </row>
    <row r="196" spans="1:4" ht="15" customHeight="1" x14ac:dyDescent="0.45">
      <c r="A196" s="82"/>
      <c r="B196"/>
      <c r="C196"/>
      <c r="D196"/>
    </row>
    <row r="197" spans="1:4" ht="15" customHeight="1" x14ac:dyDescent="0.45">
      <c r="A197" s="82"/>
      <c r="B197"/>
      <c r="C197"/>
      <c r="D197"/>
    </row>
    <row r="198" spans="1:4" ht="15" customHeight="1" x14ac:dyDescent="0.45">
      <c r="A198" s="82"/>
      <c r="B198"/>
      <c r="C198"/>
      <c r="D198"/>
    </row>
    <row r="199" spans="1:4" ht="15" customHeight="1" x14ac:dyDescent="0.45">
      <c r="A199" s="82"/>
      <c r="B199"/>
      <c r="C199"/>
      <c r="D199"/>
    </row>
    <row r="200" spans="1:4" ht="15" customHeight="1" x14ac:dyDescent="0.45">
      <c r="A200" s="82"/>
      <c r="B200"/>
      <c r="C200"/>
      <c r="D200"/>
    </row>
    <row r="201" spans="1:4" ht="15" customHeight="1" x14ac:dyDescent="0.45">
      <c r="A201" s="82"/>
      <c r="B201"/>
      <c r="C201"/>
      <c r="D201"/>
    </row>
    <row r="202" spans="1:4" ht="15" customHeight="1" x14ac:dyDescent="0.45">
      <c r="A202" s="82"/>
      <c r="B202"/>
      <c r="C202"/>
      <c r="D202"/>
    </row>
    <row r="203" spans="1:4" ht="15" customHeight="1" x14ac:dyDescent="0.45">
      <c r="A203" s="82"/>
      <c r="B203"/>
      <c r="C203"/>
      <c r="D203"/>
    </row>
    <row r="204" spans="1:4" ht="15" customHeight="1" x14ac:dyDescent="0.45">
      <c r="A204" s="82"/>
      <c r="B204"/>
      <c r="C204"/>
      <c r="D204"/>
    </row>
    <row r="205" spans="1:4" ht="15" customHeight="1" x14ac:dyDescent="0.45">
      <c r="A205" s="82"/>
      <c r="B205"/>
      <c r="C205"/>
      <c r="D205"/>
    </row>
    <row r="206" spans="1:4" ht="15" customHeight="1" x14ac:dyDescent="0.45">
      <c r="A206" s="82"/>
      <c r="B206"/>
      <c r="C206"/>
      <c r="D206"/>
    </row>
    <row r="207" spans="1:4" ht="15" customHeight="1" x14ac:dyDescent="0.45">
      <c r="A207" s="82"/>
      <c r="B207"/>
      <c r="C207"/>
      <c r="D207"/>
    </row>
    <row r="208" spans="1:4" ht="15" customHeight="1" x14ac:dyDescent="0.45">
      <c r="A208" s="82"/>
      <c r="B208"/>
      <c r="C208"/>
      <c r="D208"/>
    </row>
    <row r="209" spans="1:4" ht="15" customHeight="1" x14ac:dyDescent="0.45">
      <c r="A209" s="82"/>
      <c r="B209"/>
      <c r="C209"/>
      <c r="D209"/>
    </row>
    <row r="210" spans="1:4" ht="15" customHeight="1" x14ac:dyDescent="0.45">
      <c r="A210" s="82"/>
      <c r="B210"/>
      <c r="C210"/>
      <c r="D210"/>
    </row>
    <row r="211" spans="1:4" ht="15" customHeight="1" x14ac:dyDescent="0.45">
      <c r="A211" s="82"/>
      <c r="B211"/>
      <c r="C211"/>
      <c r="D211"/>
    </row>
    <row r="212" spans="1:4" ht="15" customHeight="1" x14ac:dyDescent="0.45">
      <c r="A212" s="82"/>
      <c r="B212"/>
      <c r="C212"/>
      <c r="D212"/>
    </row>
    <row r="213" spans="1:4" ht="15" customHeight="1" x14ac:dyDescent="0.45">
      <c r="A213" s="82"/>
      <c r="B213"/>
      <c r="C213"/>
      <c r="D213"/>
    </row>
    <row r="214" spans="1:4" ht="15" customHeight="1" x14ac:dyDescent="0.45">
      <c r="A214" s="82"/>
      <c r="B214"/>
      <c r="C214"/>
      <c r="D214"/>
    </row>
    <row r="215" spans="1:4" ht="15" customHeight="1" x14ac:dyDescent="0.45">
      <c r="A215" s="82"/>
      <c r="B215"/>
      <c r="C215"/>
      <c r="D215"/>
    </row>
    <row r="216" spans="1:4" ht="15" customHeight="1" x14ac:dyDescent="0.45">
      <c r="A216" s="82"/>
      <c r="B216"/>
      <c r="C216"/>
      <c r="D216"/>
    </row>
    <row r="217" spans="1:4" ht="15" customHeight="1" x14ac:dyDescent="0.45">
      <c r="A217" s="82"/>
      <c r="B217"/>
      <c r="C217"/>
      <c r="D217"/>
    </row>
    <row r="218" spans="1:4" ht="15" customHeight="1" x14ac:dyDescent="0.45">
      <c r="A218" s="82"/>
      <c r="B218"/>
      <c r="C218"/>
      <c r="D218"/>
    </row>
    <row r="219" spans="1:4" ht="15" customHeight="1" x14ac:dyDescent="0.45">
      <c r="A219" s="82"/>
      <c r="B219"/>
      <c r="C219"/>
      <c r="D219"/>
    </row>
    <row r="220" spans="1:4" ht="15" customHeight="1" x14ac:dyDescent="0.45">
      <c r="A220" s="82"/>
      <c r="B220"/>
      <c r="C220"/>
      <c r="D220"/>
    </row>
    <row r="221" spans="1:4" ht="15" customHeight="1" x14ac:dyDescent="0.45">
      <c r="A221" s="82"/>
      <c r="B221"/>
      <c r="C221"/>
      <c r="D221"/>
    </row>
    <row r="222" spans="1:4" ht="15" customHeight="1" x14ac:dyDescent="0.45">
      <c r="A222" s="82"/>
      <c r="B222"/>
      <c r="C222"/>
      <c r="D222"/>
    </row>
    <row r="223" spans="1:4" ht="15" customHeight="1" x14ac:dyDescent="0.45">
      <c r="A223" s="82"/>
      <c r="B223"/>
      <c r="C223"/>
      <c r="D223"/>
    </row>
    <row r="224" spans="1:4" ht="15" customHeight="1" x14ac:dyDescent="0.45">
      <c r="A224" s="82"/>
      <c r="B224"/>
      <c r="C224"/>
      <c r="D224"/>
    </row>
    <row r="225" spans="1:4" ht="15" customHeight="1" x14ac:dyDescent="0.45">
      <c r="A225" s="82"/>
      <c r="B225"/>
      <c r="C225"/>
      <c r="D225"/>
    </row>
    <row r="226" spans="1:4" ht="15" customHeight="1" x14ac:dyDescent="0.45">
      <c r="A226" s="82"/>
      <c r="B226"/>
      <c r="C226"/>
      <c r="D226"/>
    </row>
    <row r="227" spans="1:4" ht="15" customHeight="1" x14ac:dyDescent="0.45">
      <c r="A227" s="82"/>
      <c r="B227"/>
      <c r="C227"/>
      <c r="D227"/>
    </row>
    <row r="228" spans="1:4" ht="15" customHeight="1" x14ac:dyDescent="0.45">
      <c r="A228" s="82"/>
      <c r="B228"/>
      <c r="C228"/>
      <c r="D228"/>
    </row>
    <row r="229" spans="1:4" ht="15" customHeight="1" x14ac:dyDescent="0.45">
      <c r="A229" s="82"/>
      <c r="B229"/>
      <c r="C229"/>
      <c r="D229"/>
    </row>
    <row r="230" spans="1:4" ht="15" customHeight="1" x14ac:dyDescent="0.45">
      <c r="A230" s="82"/>
      <c r="B230"/>
      <c r="C230"/>
      <c r="D230"/>
    </row>
    <row r="231" spans="1:4" ht="15" customHeight="1" x14ac:dyDescent="0.45">
      <c r="A231" s="82"/>
      <c r="B231"/>
      <c r="C231"/>
      <c r="D231"/>
    </row>
    <row r="232" spans="1:4" ht="15" customHeight="1" x14ac:dyDescent="0.45">
      <c r="A232" s="82"/>
      <c r="B232"/>
      <c r="C232"/>
      <c r="D232"/>
    </row>
    <row r="233" spans="1:4" ht="15" customHeight="1" x14ac:dyDescent="0.45">
      <c r="A233" s="82"/>
      <c r="B233"/>
      <c r="C233"/>
      <c r="D233"/>
    </row>
    <row r="234" spans="1:4" ht="15" customHeight="1" x14ac:dyDescent="0.45">
      <c r="A234" s="82"/>
      <c r="B234"/>
      <c r="C234"/>
      <c r="D234"/>
    </row>
    <row r="235" spans="1:4" ht="15" customHeight="1" x14ac:dyDescent="0.45">
      <c r="A235" s="82"/>
      <c r="B235"/>
      <c r="C235"/>
      <c r="D235"/>
    </row>
    <row r="236" spans="1:4" ht="15" customHeight="1" x14ac:dyDescent="0.45">
      <c r="A236" s="82"/>
      <c r="B236"/>
      <c r="C236"/>
      <c r="D236"/>
    </row>
    <row r="237" spans="1:4" ht="15" customHeight="1" x14ac:dyDescent="0.45">
      <c r="A237" s="82"/>
      <c r="B237"/>
      <c r="C237"/>
      <c r="D237"/>
    </row>
    <row r="238" spans="1:4" ht="15" customHeight="1" x14ac:dyDescent="0.45">
      <c r="A238" s="82"/>
      <c r="B238"/>
      <c r="C238"/>
      <c r="D238"/>
    </row>
    <row r="239" spans="1:4" ht="15" customHeight="1" x14ac:dyDescent="0.45">
      <c r="A239" s="82"/>
      <c r="B239"/>
      <c r="C239"/>
      <c r="D239"/>
    </row>
    <row r="240" spans="1:4" ht="15" customHeight="1" x14ac:dyDescent="0.45">
      <c r="A240" s="82"/>
      <c r="B240"/>
      <c r="C240"/>
      <c r="D240"/>
    </row>
    <row r="241" spans="1:4" ht="15" customHeight="1" x14ac:dyDescent="0.45">
      <c r="A241" s="82"/>
      <c r="B241"/>
      <c r="C241"/>
      <c r="D241"/>
    </row>
    <row r="242" spans="1:4" ht="15" customHeight="1" x14ac:dyDescent="0.45">
      <c r="A242" s="82"/>
      <c r="B242"/>
      <c r="C242"/>
      <c r="D242"/>
    </row>
    <row r="243" spans="1:4" ht="15" customHeight="1" x14ac:dyDescent="0.45">
      <c r="A243" s="82"/>
      <c r="B243"/>
      <c r="C243"/>
      <c r="D243"/>
    </row>
    <row r="244" spans="1:4" ht="15" customHeight="1" x14ac:dyDescent="0.45">
      <c r="A244" s="82"/>
      <c r="B244"/>
      <c r="C244"/>
      <c r="D244"/>
    </row>
    <row r="245" spans="1:4" ht="15" customHeight="1" x14ac:dyDescent="0.45">
      <c r="A245" s="82"/>
      <c r="B245"/>
      <c r="C245"/>
      <c r="D245"/>
    </row>
    <row r="246" spans="1:4" ht="15" customHeight="1" x14ac:dyDescent="0.45">
      <c r="A246" s="82"/>
      <c r="B246"/>
      <c r="C246"/>
      <c r="D246"/>
    </row>
    <row r="247" spans="1:4" ht="15" customHeight="1" x14ac:dyDescent="0.45">
      <c r="A247" s="82"/>
      <c r="B247"/>
      <c r="C247"/>
      <c r="D247"/>
    </row>
    <row r="248" spans="1:4" ht="15" customHeight="1" x14ac:dyDescent="0.45">
      <c r="A248" s="82"/>
      <c r="B248"/>
      <c r="C248"/>
      <c r="D248"/>
    </row>
    <row r="249" spans="1:4" ht="15" customHeight="1" x14ac:dyDescent="0.45">
      <c r="A249" s="82"/>
      <c r="B249"/>
      <c r="C249"/>
      <c r="D249"/>
    </row>
    <row r="250" spans="1:4" ht="15" customHeight="1" x14ac:dyDescent="0.45">
      <c r="A250" s="82"/>
      <c r="B250"/>
      <c r="C250"/>
      <c r="D250"/>
    </row>
    <row r="251" spans="1:4" ht="15" customHeight="1" x14ac:dyDescent="0.45">
      <c r="A251" s="82"/>
      <c r="B251"/>
      <c r="C251"/>
      <c r="D251"/>
    </row>
    <row r="252" spans="1:4" ht="15" customHeight="1" x14ac:dyDescent="0.45">
      <c r="A252" s="82"/>
      <c r="B252"/>
      <c r="C252"/>
      <c r="D252"/>
    </row>
    <row r="253" spans="1:4" ht="15" customHeight="1" x14ac:dyDescent="0.45">
      <c r="A253" s="82"/>
      <c r="B253"/>
      <c r="C253"/>
      <c r="D253"/>
    </row>
    <row r="254" spans="1:4" ht="15" customHeight="1" x14ac:dyDescent="0.45">
      <c r="A254" s="82"/>
      <c r="B254"/>
      <c r="C254"/>
      <c r="D254"/>
    </row>
    <row r="255" spans="1:4" ht="15" customHeight="1" x14ac:dyDescent="0.45">
      <c r="A255" s="82"/>
      <c r="B255"/>
      <c r="C255"/>
      <c r="D255"/>
    </row>
    <row r="256" spans="1:4" ht="15" customHeight="1" x14ac:dyDescent="0.45">
      <c r="A256" s="82"/>
      <c r="B256"/>
      <c r="C256"/>
      <c r="D256"/>
    </row>
    <row r="257" spans="1:4" ht="15" customHeight="1" x14ac:dyDescent="0.45">
      <c r="A257" s="82"/>
      <c r="B257"/>
      <c r="C257"/>
      <c r="D257"/>
    </row>
    <row r="258" spans="1:4" ht="15" customHeight="1" x14ac:dyDescent="0.45">
      <c r="A258" s="82"/>
      <c r="B258"/>
      <c r="C258"/>
      <c r="D258"/>
    </row>
    <row r="259" spans="1:4" ht="15" customHeight="1" x14ac:dyDescent="0.45">
      <c r="A259" s="82"/>
      <c r="B259"/>
      <c r="C259"/>
      <c r="D259"/>
    </row>
    <row r="260" spans="1:4" ht="15" customHeight="1" x14ac:dyDescent="0.45">
      <c r="A260" s="82"/>
      <c r="B260"/>
      <c r="C260"/>
      <c r="D260"/>
    </row>
    <row r="261" spans="1:4" ht="15" customHeight="1" x14ac:dyDescent="0.45">
      <c r="A261" s="82"/>
      <c r="B261"/>
      <c r="C261"/>
      <c r="D261"/>
    </row>
    <row r="262" spans="1:4" ht="15" customHeight="1" x14ac:dyDescent="0.45">
      <c r="A262" s="82"/>
      <c r="B262"/>
      <c r="C262"/>
      <c r="D262"/>
    </row>
    <row r="263" spans="1:4" ht="15" customHeight="1" x14ac:dyDescent="0.45">
      <c r="A263" s="82"/>
      <c r="B263"/>
      <c r="C263"/>
      <c r="D263"/>
    </row>
    <row r="264" spans="1:4" ht="15" customHeight="1" x14ac:dyDescent="0.45">
      <c r="A264" s="82"/>
      <c r="B264"/>
      <c r="C264"/>
      <c r="D264"/>
    </row>
    <row r="265" spans="1:4" ht="15" customHeight="1" x14ac:dyDescent="0.45">
      <c r="A265" s="82"/>
      <c r="B265"/>
      <c r="C265"/>
      <c r="D265"/>
    </row>
    <row r="266" spans="1:4" ht="15" customHeight="1" x14ac:dyDescent="0.45">
      <c r="A266" s="82"/>
      <c r="B266"/>
      <c r="C266"/>
      <c r="D266"/>
    </row>
    <row r="267" spans="1:4" ht="15" customHeight="1" x14ac:dyDescent="0.45">
      <c r="A267" s="82"/>
      <c r="B267"/>
      <c r="C267"/>
      <c r="D267"/>
    </row>
    <row r="268" spans="1:4" ht="15" customHeight="1" x14ac:dyDescent="0.45">
      <c r="A268" s="82"/>
      <c r="B268"/>
      <c r="C268"/>
      <c r="D268"/>
    </row>
    <row r="269" spans="1:4" ht="15" customHeight="1" x14ac:dyDescent="0.45">
      <c r="A269" s="82"/>
      <c r="B269"/>
      <c r="C269"/>
      <c r="D269"/>
    </row>
    <row r="270" spans="1:4" ht="15" customHeight="1" x14ac:dyDescent="0.45">
      <c r="A270" s="82"/>
      <c r="B270"/>
      <c r="C270"/>
      <c r="D270"/>
    </row>
    <row r="271" spans="1:4" ht="15" customHeight="1" x14ac:dyDescent="0.45">
      <c r="A271" s="82"/>
      <c r="B271"/>
      <c r="C271"/>
      <c r="D271"/>
    </row>
    <row r="272" spans="1:4" ht="15" customHeight="1" x14ac:dyDescent="0.45">
      <c r="A272" s="82"/>
      <c r="B272"/>
      <c r="C272"/>
      <c r="D272"/>
    </row>
    <row r="273" spans="1:4" ht="15" customHeight="1" x14ac:dyDescent="0.45">
      <c r="A273" s="82"/>
      <c r="B273"/>
      <c r="C273"/>
      <c r="D273"/>
    </row>
    <row r="274" spans="1:4" ht="15" customHeight="1" x14ac:dyDescent="0.45">
      <c r="A274" s="82"/>
      <c r="B274"/>
      <c r="C274"/>
      <c r="D274"/>
    </row>
    <row r="275" spans="1:4" ht="15" customHeight="1" x14ac:dyDescent="0.45">
      <c r="A275" s="82"/>
      <c r="B275"/>
      <c r="C275"/>
      <c r="D275"/>
    </row>
    <row r="276" spans="1:4" ht="15" customHeight="1" x14ac:dyDescent="0.45">
      <c r="A276" s="82"/>
      <c r="B276"/>
      <c r="C276"/>
      <c r="D276"/>
    </row>
    <row r="277" spans="1:4" ht="15" customHeight="1" x14ac:dyDescent="0.45">
      <c r="A277" s="82"/>
      <c r="B277"/>
      <c r="C277"/>
      <c r="D277"/>
    </row>
    <row r="278" spans="1:4" ht="15" customHeight="1" x14ac:dyDescent="0.45">
      <c r="A278" s="82"/>
      <c r="B278"/>
      <c r="C278"/>
      <c r="D278"/>
    </row>
    <row r="279" spans="1:4" ht="15" customHeight="1" x14ac:dyDescent="0.45">
      <c r="A279" s="82"/>
      <c r="B279"/>
      <c r="C279"/>
      <c r="D279"/>
    </row>
    <row r="280" spans="1:4" ht="15" customHeight="1" x14ac:dyDescent="0.45">
      <c r="A280" s="82"/>
      <c r="B280"/>
      <c r="C280"/>
      <c r="D280"/>
    </row>
    <row r="281" spans="1:4" ht="15" customHeight="1" x14ac:dyDescent="0.45">
      <c r="A281" s="82"/>
      <c r="B281"/>
      <c r="C281"/>
      <c r="D281"/>
    </row>
    <row r="282" spans="1:4" ht="15" customHeight="1" x14ac:dyDescent="0.45">
      <c r="A282" s="82"/>
      <c r="B282"/>
      <c r="C282"/>
      <c r="D282"/>
    </row>
    <row r="283" spans="1:4" ht="15" customHeight="1" x14ac:dyDescent="0.45">
      <c r="A283" s="82"/>
      <c r="B283"/>
      <c r="C283"/>
      <c r="D283"/>
    </row>
    <row r="284" spans="1:4" ht="15" customHeight="1" x14ac:dyDescent="0.45">
      <c r="A284" s="82"/>
      <c r="B284"/>
      <c r="C284"/>
      <c r="D284"/>
    </row>
    <row r="285" spans="1:4" ht="15" customHeight="1" x14ac:dyDescent="0.45">
      <c r="A285" s="82"/>
      <c r="B285"/>
      <c r="C285"/>
      <c r="D285"/>
    </row>
    <row r="286" spans="1:4" ht="15" customHeight="1" x14ac:dyDescent="0.45">
      <c r="A286" s="82"/>
      <c r="B286"/>
      <c r="C286"/>
      <c r="D286"/>
    </row>
    <row r="287" spans="1:4" ht="15" customHeight="1" x14ac:dyDescent="0.45">
      <c r="A287" s="82"/>
      <c r="B287"/>
      <c r="C287"/>
      <c r="D287"/>
    </row>
    <row r="288" spans="1:4" ht="15" customHeight="1" x14ac:dyDescent="0.45">
      <c r="A288" s="82"/>
      <c r="B288"/>
      <c r="C288"/>
      <c r="D288"/>
    </row>
    <row r="289" spans="1:4" ht="15" customHeight="1" x14ac:dyDescent="0.45">
      <c r="A289" s="82"/>
      <c r="B289"/>
      <c r="C289"/>
      <c r="D289"/>
    </row>
    <row r="290" spans="1:4" ht="15" customHeight="1" x14ac:dyDescent="0.45">
      <c r="A290" s="82"/>
      <c r="B290"/>
      <c r="C290"/>
      <c r="D290"/>
    </row>
    <row r="291" spans="1:4" ht="15" customHeight="1" x14ac:dyDescent="0.45">
      <c r="A291" s="82"/>
      <c r="B291"/>
      <c r="C291"/>
      <c r="D291"/>
    </row>
    <row r="292" spans="1:4" ht="15" customHeight="1" x14ac:dyDescent="0.45">
      <c r="A292" s="82"/>
      <c r="B292"/>
      <c r="C292"/>
      <c r="D292"/>
    </row>
    <row r="293" spans="1:4" ht="15" customHeight="1" x14ac:dyDescent="0.45">
      <c r="A293" s="82"/>
      <c r="B293"/>
      <c r="C293"/>
      <c r="D293"/>
    </row>
    <row r="294" spans="1:4" ht="15" customHeight="1" x14ac:dyDescent="0.45">
      <c r="A294" s="82"/>
      <c r="B294"/>
      <c r="C294"/>
      <c r="D294"/>
    </row>
    <row r="295" spans="1:4" ht="15" customHeight="1" x14ac:dyDescent="0.45">
      <c r="A295" s="82"/>
      <c r="B295"/>
      <c r="C295"/>
      <c r="D295"/>
    </row>
    <row r="296" spans="1:4" ht="15" customHeight="1" x14ac:dyDescent="0.45">
      <c r="A296" s="82"/>
      <c r="B296"/>
      <c r="C296"/>
      <c r="D296"/>
    </row>
    <row r="297" spans="1:4" ht="15" customHeight="1" x14ac:dyDescent="0.45">
      <c r="A297" s="82"/>
      <c r="B297"/>
      <c r="C297"/>
      <c r="D297"/>
    </row>
    <row r="298" spans="1:4" ht="15" customHeight="1" x14ac:dyDescent="0.45">
      <c r="A298" s="82"/>
      <c r="B298"/>
      <c r="C298"/>
      <c r="D298"/>
    </row>
    <row r="299" spans="1:4" ht="15" customHeight="1" x14ac:dyDescent="0.45">
      <c r="A299" s="82"/>
      <c r="B299"/>
      <c r="C299"/>
      <c r="D299"/>
    </row>
    <row r="300" spans="1:4" ht="15" customHeight="1" x14ac:dyDescent="0.45">
      <c r="A300" s="82"/>
      <c r="B300"/>
      <c r="C300"/>
      <c r="D300"/>
    </row>
    <row r="301" spans="1:4" ht="15" customHeight="1" x14ac:dyDescent="0.45">
      <c r="A301" s="82"/>
      <c r="B301"/>
      <c r="C301"/>
      <c r="D301"/>
    </row>
    <row r="302" spans="1:4" ht="15" customHeight="1" x14ac:dyDescent="0.45">
      <c r="A302" s="82"/>
      <c r="B302"/>
      <c r="C302"/>
      <c r="D302"/>
    </row>
    <row r="303" spans="1:4" ht="15" customHeight="1" x14ac:dyDescent="0.45">
      <c r="A303" s="82"/>
      <c r="B303"/>
      <c r="C303"/>
      <c r="D303"/>
    </row>
    <row r="304" spans="1:4" ht="15" customHeight="1" x14ac:dyDescent="0.45">
      <c r="A304" s="82"/>
      <c r="B304"/>
      <c r="C304"/>
      <c r="D304"/>
    </row>
    <row r="305" spans="1:4" ht="15" customHeight="1" x14ac:dyDescent="0.45">
      <c r="A305" s="82"/>
      <c r="B305"/>
      <c r="C305"/>
      <c r="D305"/>
    </row>
    <row r="306" spans="1:4" ht="15" customHeight="1" x14ac:dyDescent="0.45">
      <c r="A306" s="82"/>
      <c r="B306"/>
      <c r="C306"/>
      <c r="D306"/>
    </row>
    <row r="307" spans="1:4" ht="15" customHeight="1" x14ac:dyDescent="0.45">
      <c r="A307" s="82"/>
      <c r="B307"/>
      <c r="C307"/>
      <c r="D307"/>
    </row>
    <row r="308" spans="1:4" ht="15" customHeight="1" x14ac:dyDescent="0.45">
      <c r="A308" s="82"/>
      <c r="B308"/>
      <c r="C308"/>
      <c r="D308"/>
    </row>
    <row r="309" spans="1:4" ht="15" customHeight="1" x14ac:dyDescent="0.45">
      <c r="A309" s="82"/>
      <c r="B309"/>
      <c r="C309"/>
      <c r="D309"/>
    </row>
    <row r="310" spans="1:4" ht="15" customHeight="1" x14ac:dyDescent="0.45">
      <c r="A310" s="82"/>
      <c r="B310"/>
      <c r="C310"/>
      <c r="D310"/>
    </row>
    <row r="311" spans="1:4" ht="15" customHeight="1" x14ac:dyDescent="0.45">
      <c r="A311" s="82"/>
      <c r="B311"/>
      <c r="C311"/>
      <c r="D311"/>
    </row>
    <row r="312" spans="1:4" ht="15" customHeight="1" x14ac:dyDescent="0.45">
      <c r="A312" s="82"/>
      <c r="B312"/>
      <c r="C312"/>
      <c r="D312"/>
    </row>
    <row r="313" spans="1:4" ht="15" customHeight="1" x14ac:dyDescent="0.45">
      <c r="A313" s="82"/>
      <c r="B313"/>
      <c r="C313"/>
      <c r="D313"/>
    </row>
    <row r="314" spans="1:4" ht="15" customHeight="1" x14ac:dyDescent="0.45">
      <c r="A314" s="82"/>
      <c r="B314"/>
      <c r="C314"/>
      <c r="D314"/>
    </row>
    <row r="315" spans="1:4" ht="15" customHeight="1" x14ac:dyDescent="0.45">
      <c r="A315" s="82"/>
      <c r="B315"/>
      <c r="C315"/>
      <c r="D315"/>
    </row>
    <row r="316" spans="1:4" ht="15" customHeight="1" x14ac:dyDescent="0.45">
      <c r="A316" s="82"/>
      <c r="B316"/>
      <c r="C316"/>
      <c r="D316"/>
    </row>
    <row r="317" spans="1:4" ht="15" customHeight="1" x14ac:dyDescent="0.45">
      <c r="A317" s="82"/>
      <c r="B317"/>
      <c r="C317"/>
      <c r="D317"/>
    </row>
    <row r="318" spans="1:4" ht="15" customHeight="1" x14ac:dyDescent="0.45">
      <c r="A318" s="82"/>
      <c r="B318"/>
      <c r="C318"/>
      <c r="D318"/>
    </row>
    <row r="319" spans="1:4" ht="15" customHeight="1" x14ac:dyDescent="0.45">
      <c r="A319" s="82"/>
      <c r="B319"/>
      <c r="C319"/>
      <c r="D319"/>
    </row>
    <row r="320" spans="1:4" ht="15" customHeight="1" x14ac:dyDescent="0.45">
      <c r="A320" s="82"/>
      <c r="B320"/>
      <c r="C320"/>
      <c r="D320"/>
    </row>
    <row r="321" spans="1:4" ht="15" customHeight="1" x14ac:dyDescent="0.45">
      <c r="A321" s="82"/>
      <c r="B321"/>
      <c r="C321"/>
      <c r="D321"/>
    </row>
    <row r="322" spans="1:4" ht="15" customHeight="1" x14ac:dyDescent="0.45">
      <c r="A322" s="82"/>
      <c r="B322"/>
      <c r="C322"/>
      <c r="D322"/>
    </row>
    <row r="323" spans="1:4" ht="15" customHeight="1" x14ac:dyDescent="0.45">
      <c r="A323" s="82"/>
      <c r="B323"/>
      <c r="C323"/>
      <c r="D323"/>
    </row>
    <row r="324" spans="1:4" ht="15" customHeight="1" x14ac:dyDescent="0.45">
      <c r="A324" s="82"/>
      <c r="B324"/>
      <c r="C324"/>
      <c r="D324"/>
    </row>
    <row r="325" spans="1:4" ht="15" customHeight="1" x14ac:dyDescent="0.45">
      <c r="A325" s="82"/>
      <c r="B325"/>
      <c r="C325"/>
      <c r="D325"/>
    </row>
    <row r="326" spans="1:4" ht="15" customHeight="1" x14ac:dyDescent="0.45">
      <c r="A326" s="82"/>
      <c r="B326"/>
      <c r="C326"/>
      <c r="D326"/>
    </row>
    <row r="327" spans="1:4" ht="15" customHeight="1" x14ac:dyDescent="0.45">
      <c r="A327" s="82"/>
      <c r="B327"/>
      <c r="C327"/>
      <c r="D327"/>
    </row>
    <row r="328" spans="1:4" ht="15" customHeight="1" x14ac:dyDescent="0.45">
      <c r="A328" s="82"/>
      <c r="B328"/>
      <c r="C328"/>
      <c r="D328"/>
    </row>
    <row r="329" spans="1:4" ht="15" customHeight="1" x14ac:dyDescent="0.45">
      <c r="A329" s="82"/>
      <c r="B329"/>
      <c r="C329"/>
      <c r="D329"/>
    </row>
    <row r="330" spans="1:4" ht="15" customHeight="1" x14ac:dyDescent="0.45">
      <c r="A330" s="82"/>
      <c r="B330"/>
      <c r="C330"/>
      <c r="D330"/>
    </row>
    <row r="331" spans="1:4" ht="15" customHeight="1" x14ac:dyDescent="0.45">
      <c r="A331" s="82"/>
      <c r="B331"/>
      <c r="C331"/>
      <c r="D331"/>
    </row>
    <row r="332" spans="1:4" ht="15" customHeight="1" x14ac:dyDescent="0.45">
      <c r="A332" s="82"/>
      <c r="B332"/>
      <c r="C332"/>
      <c r="D332"/>
    </row>
    <row r="333" spans="1:4" ht="15" customHeight="1" x14ac:dyDescent="0.45">
      <c r="A333" s="82"/>
      <c r="B333"/>
      <c r="C333"/>
      <c r="D333"/>
    </row>
    <row r="334" spans="1:4" ht="15" customHeight="1" x14ac:dyDescent="0.45">
      <c r="A334" s="82"/>
      <c r="B334"/>
      <c r="C334"/>
      <c r="D334"/>
    </row>
    <row r="335" spans="1:4" ht="15" customHeight="1" x14ac:dyDescent="0.45">
      <c r="A335" s="82"/>
      <c r="B335"/>
      <c r="C335"/>
      <c r="D335"/>
    </row>
    <row r="336" spans="1:4" ht="15" customHeight="1" x14ac:dyDescent="0.45">
      <c r="A336" s="82"/>
      <c r="B336"/>
      <c r="C336"/>
      <c r="D336"/>
    </row>
    <row r="337" spans="1:4" ht="15" customHeight="1" x14ac:dyDescent="0.45">
      <c r="A337" s="82"/>
      <c r="B337"/>
      <c r="C337"/>
      <c r="D337"/>
    </row>
    <row r="338" spans="1:4" ht="15" customHeight="1" x14ac:dyDescent="0.45">
      <c r="A338" s="82"/>
      <c r="B338"/>
      <c r="C338"/>
      <c r="D338"/>
    </row>
    <row r="339" spans="1:4" ht="15" customHeight="1" x14ac:dyDescent="0.45">
      <c r="A339" s="82"/>
      <c r="B339"/>
      <c r="C339"/>
      <c r="D339"/>
    </row>
    <row r="340" spans="1:4" ht="15" customHeight="1" x14ac:dyDescent="0.45">
      <c r="A340" s="82"/>
      <c r="B340"/>
      <c r="C340"/>
      <c r="D340"/>
    </row>
    <row r="341" spans="1:4" ht="15" customHeight="1" x14ac:dyDescent="0.45">
      <c r="A341" s="82"/>
      <c r="B341"/>
      <c r="C341"/>
      <c r="D341"/>
    </row>
    <row r="342" spans="1:4" ht="15" customHeight="1" x14ac:dyDescent="0.45">
      <c r="A342" s="82"/>
      <c r="B342"/>
      <c r="C342"/>
      <c r="D342"/>
    </row>
    <row r="343" spans="1:4" ht="15" customHeight="1" x14ac:dyDescent="0.45">
      <c r="A343" s="82"/>
      <c r="B343"/>
      <c r="C343"/>
      <c r="D343"/>
    </row>
    <row r="344" spans="1:4" ht="15" customHeight="1" x14ac:dyDescent="0.45">
      <c r="A344" s="82"/>
      <c r="B344"/>
      <c r="C344"/>
      <c r="D344"/>
    </row>
    <row r="345" spans="1:4" ht="15" customHeight="1" x14ac:dyDescent="0.45">
      <c r="A345" s="82"/>
      <c r="B345"/>
      <c r="C345"/>
      <c r="D345"/>
    </row>
    <row r="346" spans="1:4" ht="15" customHeight="1" x14ac:dyDescent="0.45">
      <c r="A346" s="82"/>
      <c r="B346"/>
      <c r="C346"/>
      <c r="D346"/>
    </row>
    <row r="347" spans="1:4" ht="15" customHeight="1" x14ac:dyDescent="0.45">
      <c r="A347" s="82"/>
      <c r="B347"/>
      <c r="C347"/>
      <c r="D347"/>
    </row>
    <row r="348" spans="1:4" ht="15" customHeight="1" x14ac:dyDescent="0.45">
      <c r="A348" s="82"/>
      <c r="B348"/>
      <c r="C348"/>
      <c r="D348"/>
    </row>
    <row r="349" spans="1:4" ht="15" customHeight="1" x14ac:dyDescent="0.45">
      <c r="A349" s="82"/>
      <c r="B349"/>
      <c r="C349"/>
      <c r="D349"/>
    </row>
    <row r="350" spans="1:4" ht="15" customHeight="1" x14ac:dyDescent="0.45">
      <c r="A350" s="82"/>
      <c r="B350"/>
      <c r="C350"/>
      <c r="D350"/>
    </row>
    <row r="351" spans="1:4" ht="15" customHeight="1" x14ac:dyDescent="0.45">
      <c r="A351" s="82"/>
      <c r="B351"/>
      <c r="C351"/>
      <c r="D351"/>
    </row>
    <row r="352" spans="1:4" ht="15" customHeight="1" x14ac:dyDescent="0.45">
      <c r="A352" s="82"/>
      <c r="B352"/>
      <c r="C352"/>
      <c r="D352"/>
    </row>
    <row r="353" spans="1:4" ht="15" customHeight="1" x14ac:dyDescent="0.45">
      <c r="A353" s="82"/>
      <c r="B353"/>
      <c r="C353"/>
      <c r="D353"/>
    </row>
    <row r="354" spans="1:4" ht="15" customHeight="1" x14ac:dyDescent="0.45">
      <c r="A354" s="82"/>
      <c r="B354"/>
      <c r="C354"/>
      <c r="D354"/>
    </row>
    <row r="355" spans="1:4" ht="15" customHeight="1" x14ac:dyDescent="0.45">
      <c r="A355" s="82"/>
      <c r="B355"/>
      <c r="C355"/>
      <c r="D355"/>
    </row>
    <row r="356" spans="1:4" ht="15" customHeight="1" x14ac:dyDescent="0.45">
      <c r="A356" s="82"/>
      <c r="B356"/>
      <c r="C356"/>
      <c r="D356"/>
    </row>
    <row r="357" spans="1:4" ht="15" customHeight="1" x14ac:dyDescent="0.45">
      <c r="A357" s="82"/>
      <c r="B357"/>
      <c r="C357"/>
      <c r="D357"/>
    </row>
    <row r="358" spans="1:4" ht="15" customHeight="1" x14ac:dyDescent="0.45">
      <c r="A358" s="82"/>
      <c r="B358"/>
      <c r="C358"/>
      <c r="D358"/>
    </row>
    <row r="359" spans="1:4" ht="15" customHeight="1" x14ac:dyDescent="0.45">
      <c r="A359" s="82"/>
      <c r="B359"/>
      <c r="C359"/>
      <c r="D359"/>
    </row>
    <row r="360" spans="1:4" ht="15" customHeight="1" x14ac:dyDescent="0.45">
      <c r="A360" s="82"/>
      <c r="B360"/>
      <c r="C360"/>
      <c r="D360"/>
    </row>
    <row r="361" spans="1:4" ht="15" customHeight="1" x14ac:dyDescent="0.45">
      <c r="A361" s="82"/>
      <c r="B361"/>
      <c r="C361"/>
      <c r="D361"/>
    </row>
    <row r="362" spans="1:4" ht="15" customHeight="1" x14ac:dyDescent="0.45">
      <c r="A362" s="82"/>
      <c r="B362"/>
      <c r="C362"/>
      <c r="D362"/>
    </row>
    <row r="363" spans="1:4" ht="15" customHeight="1" x14ac:dyDescent="0.45">
      <c r="A363" s="82"/>
      <c r="B363"/>
      <c r="C363"/>
      <c r="D363"/>
    </row>
    <row r="364" spans="1:4" ht="15" customHeight="1" x14ac:dyDescent="0.45">
      <c r="A364" s="82"/>
      <c r="B364"/>
      <c r="C364"/>
      <c r="D364"/>
    </row>
    <row r="365" spans="1:4" ht="15" customHeight="1" x14ac:dyDescent="0.45">
      <c r="A365" s="82"/>
      <c r="B365"/>
      <c r="C365"/>
      <c r="D365"/>
    </row>
    <row r="366" spans="1:4" ht="15" customHeight="1" x14ac:dyDescent="0.45">
      <c r="A366" s="82"/>
      <c r="B366"/>
      <c r="C366"/>
      <c r="D366"/>
    </row>
    <row r="367" spans="1:4" ht="15" customHeight="1" x14ac:dyDescent="0.45">
      <c r="A367" s="82"/>
      <c r="B367"/>
      <c r="C367"/>
      <c r="D367"/>
    </row>
    <row r="368" spans="1:4" ht="15" customHeight="1" x14ac:dyDescent="0.45">
      <c r="A368" s="82"/>
      <c r="B368"/>
      <c r="C368"/>
      <c r="D368"/>
    </row>
    <row r="369" spans="1:4" ht="15" customHeight="1" x14ac:dyDescent="0.45">
      <c r="A369" s="82"/>
      <c r="B369"/>
      <c r="C369"/>
      <c r="D369"/>
    </row>
    <row r="370" spans="1:4" ht="15" customHeight="1" x14ac:dyDescent="0.45">
      <c r="A370" s="82"/>
      <c r="B370"/>
      <c r="C370"/>
      <c r="D370"/>
    </row>
    <row r="371" spans="1:4" ht="15" customHeight="1" x14ac:dyDescent="0.45">
      <c r="A371" s="82"/>
      <c r="B371"/>
      <c r="C371"/>
      <c r="D371"/>
    </row>
    <row r="372" spans="1:4" ht="15" customHeight="1" x14ac:dyDescent="0.45">
      <c r="A372" s="82"/>
      <c r="B372"/>
      <c r="C372"/>
      <c r="D372"/>
    </row>
    <row r="373" spans="1:4" ht="15" customHeight="1" x14ac:dyDescent="0.45">
      <c r="A373" s="82"/>
      <c r="B373"/>
      <c r="C373"/>
      <c r="D373"/>
    </row>
    <row r="374" spans="1:4" ht="15" customHeight="1" x14ac:dyDescent="0.45">
      <c r="A374" s="82"/>
      <c r="B374"/>
      <c r="C374"/>
      <c r="D374"/>
    </row>
    <row r="375" spans="1:4" ht="15" customHeight="1" x14ac:dyDescent="0.45">
      <c r="A375" s="82"/>
      <c r="B375"/>
      <c r="C375"/>
      <c r="D375"/>
    </row>
    <row r="376" spans="1:4" ht="15" customHeight="1" x14ac:dyDescent="0.45">
      <c r="A376" s="82"/>
      <c r="B376"/>
      <c r="C376"/>
      <c r="D376"/>
    </row>
    <row r="377" spans="1:4" ht="15" customHeight="1" x14ac:dyDescent="0.45">
      <c r="A377" s="82"/>
      <c r="B377"/>
      <c r="C377"/>
      <c r="D377"/>
    </row>
    <row r="378" spans="1:4" ht="15" customHeight="1" x14ac:dyDescent="0.45">
      <c r="A378" s="82"/>
      <c r="B378"/>
      <c r="C378"/>
      <c r="D378"/>
    </row>
    <row r="379" spans="1:4" ht="15" customHeight="1" x14ac:dyDescent="0.45">
      <c r="A379" s="82"/>
      <c r="B379"/>
      <c r="C379"/>
      <c r="D379"/>
    </row>
    <row r="380" spans="1:4" ht="15" customHeight="1" x14ac:dyDescent="0.45">
      <c r="A380" s="82"/>
      <c r="B380"/>
      <c r="C380"/>
      <c r="D380"/>
    </row>
    <row r="381" spans="1:4" ht="15" customHeight="1" x14ac:dyDescent="0.45">
      <c r="A381" s="82"/>
      <c r="B381"/>
      <c r="C381"/>
      <c r="D381"/>
    </row>
    <row r="382" spans="1:4" ht="15" customHeight="1" x14ac:dyDescent="0.45">
      <c r="A382" s="82"/>
      <c r="B382"/>
      <c r="C382"/>
      <c r="D382"/>
    </row>
    <row r="383" spans="1:4" ht="15" customHeight="1" x14ac:dyDescent="0.45">
      <c r="A383" s="82"/>
      <c r="B383"/>
      <c r="C383"/>
      <c r="D383"/>
    </row>
    <row r="384" spans="1:4" ht="15" customHeight="1" x14ac:dyDescent="0.45">
      <c r="A384" s="82"/>
      <c r="B384"/>
      <c r="C384"/>
      <c r="D384"/>
    </row>
    <row r="385" spans="1:4" ht="15" customHeight="1" x14ac:dyDescent="0.45">
      <c r="A385" s="82"/>
      <c r="B385"/>
      <c r="C385"/>
      <c r="D385"/>
    </row>
    <row r="386" spans="1:4" ht="15" customHeight="1" x14ac:dyDescent="0.45">
      <c r="A386" s="82"/>
      <c r="B386"/>
      <c r="C386"/>
      <c r="D386"/>
    </row>
    <row r="387" spans="1:4" ht="15" customHeight="1" x14ac:dyDescent="0.45">
      <c r="A387" s="82"/>
      <c r="B387"/>
      <c r="C387"/>
      <c r="D387"/>
    </row>
    <row r="388" spans="1:4" ht="15" customHeight="1" x14ac:dyDescent="0.45">
      <c r="A388" s="82"/>
      <c r="B388"/>
      <c r="C388"/>
      <c r="D388"/>
    </row>
    <row r="389" spans="1:4" ht="15" customHeight="1" x14ac:dyDescent="0.45">
      <c r="A389" s="82"/>
      <c r="B389"/>
      <c r="C389"/>
      <c r="D389"/>
    </row>
    <row r="390" spans="1:4" ht="15" customHeight="1" x14ac:dyDescent="0.45">
      <c r="A390" s="82"/>
      <c r="B390"/>
      <c r="C390"/>
      <c r="D390"/>
    </row>
    <row r="391" spans="1:4" ht="15" customHeight="1" x14ac:dyDescent="0.45">
      <c r="A391" s="82"/>
      <c r="B391"/>
      <c r="C391"/>
      <c r="D391"/>
    </row>
    <row r="392" spans="1:4" ht="15" customHeight="1" x14ac:dyDescent="0.45">
      <c r="A392" s="82"/>
      <c r="B392"/>
      <c r="C392"/>
      <c r="D392"/>
    </row>
    <row r="393" spans="1:4" ht="15" customHeight="1" x14ac:dyDescent="0.45">
      <c r="A393" s="82"/>
      <c r="B393"/>
      <c r="C393"/>
      <c r="D393"/>
    </row>
    <row r="394" spans="1:4" ht="15" customHeight="1" x14ac:dyDescent="0.45">
      <c r="A394" s="82"/>
      <c r="B394"/>
      <c r="C394"/>
      <c r="D394"/>
    </row>
    <row r="395" spans="1:4" ht="15" customHeight="1" x14ac:dyDescent="0.45">
      <c r="A395" s="82"/>
      <c r="B395"/>
      <c r="C395"/>
      <c r="D395"/>
    </row>
    <row r="396" spans="1:4" ht="15" customHeight="1" x14ac:dyDescent="0.45">
      <c r="A396" s="82"/>
      <c r="B396"/>
      <c r="C396"/>
      <c r="D396"/>
    </row>
    <row r="397" spans="1:4" ht="15" customHeight="1" x14ac:dyDescent="0.45">
      <c r="A397" s="82"/>
      <c r="B397"/>
      <c r="C397"/>
      <c r="D397"/>
    </row>
    <row r="398" spans="1:4" ht="15" customHeight="1" x14ac:dyDescent="0.45">
      <c r="A398" s="82"/>
      <c r="B398"/>
      <c r="C398"/>
      <c r="D398"/>
    </row>
    <row r="399" spans="1:4" ht="15" customHeight="1" x14ac:dyDescent="0.45">
      <c r="A399" s="82"/>
      <c r="B399"/>
      <c r="C399"/>
      <c r="D399"/>
    </row>
    <row r="400" spans="1:4" ht="15" customHeight="1" x14ac:dyDescent="0.45">
      <c r="A400" s="82"/>
      <c r="B400"/>
      <c r="C400"/>
      <c r="D400"/>
    </row>
    <row r="401" spans="1:4" ht="15" customHeight="1" x14ac:dyDescent="0.45">
      <c r="A401" s="82"/>
      <c r="B401"/>
      <c r="C401"/>
      <c r="D401"/>
    </row>
    <row r="402" spans="1:4" ht="15" customHeight="1" x14ac:dyDescent="0.45">
      <c r="A402" s="82"/>
      <c r="B402"/>
      <c r="C402"/>
      <c r="D402"/>
    </row>
    <row r="403" spans="1:4" ht="15" customHeight="1" x14ac:dyDescent="0.45">
      <c r="A403" s="82"/>
      <c r="B403"/>
      <c r="C403"/>
      <c r="D403"/>
    </row>
    <row r="404" spans="1:4" ht="15" customHeight="1" x14ac:dyDescent="0.45">
      <c r="A404" s="82"/>
      <c r="B404"/>
      <c r="C404"/>
      <c r="D404"/>
    </row>
    <row r="405" spans="1:4" ht="15" customHeight="1" x14ac:dyDescent="0.45">
      <c r="A405" s="82"/>
      <c r="B405"/>
      <c r="C405"/>
      <c r="D405"/>
    </row>
    <row r="406" spans="1:4" ht="15" customHeight="1" x14ac:dyDescent="0.45">
      <c r="A406" s="82"/>
      <c r="B406"/>
      <c r="C406"/>
      <c r="D406"/>
    </row>
    <row r="407" spans="1:4" ht="15" customHeight="1" x14ac:dyDescent="0.45">
      <c r="A407" s="82"/>
      <c r="B407"/>
      <c r="C407"/>
      <c r="D407"/>
    </row>
    <row r="408" spans="1:4" ht="15" customHeight="1" x14ac:dyDescent="0.45">
      <c r="A408" s="82"/>
      <c r="B408"/>
      <c r="C408"/>
      <c r="D408"/>
    </row>
    <row r="409" spans="1:4" ht="15" customHeight="1" x14ac:dyDescent="0.45">
      <c r="A409" s="82"/>
      <c r="B409"/>
      <c r="C409"/>
      <c r="D409"/>
    </row>
    <row r="410" spans="1:4" ht="15" customHeight="1" x14ac:dyDescent="0.45">
      <c r="A410" s="82"/>
      <c r="B410"/>
      <c r="C410"/>
      <c r="D410"/>
    </row>
    <row r="411" spans="1:4" ht="15" customHeight="1" x14ac:dyDescent="0.45">
      <c r="A411" s="82"/>
      <c r="B411"/>
      <c r="C411"/>
      <c r="D411"/>
    </row>
    <row r="412" spans="1:4" ht="15" customHeight="1" x14ac:dyDescent="0.45">
      <c r="A412" s="82"/>
      <c r="B412"/>
      <c r="C412"/>
      <c r="D412"/>
    </row>
    <row r="413" spans="1:4" ht="15" customHeight="1" x14ac:dyDescent="0.45">
      <c r="A413" s="82"/>
      <c r="B413"/>
      <c r="C413"/>
      <c r="D413"/>
    </row>
    <row r="414" spans="1:4" ht="15" customHeight="1" x14ac:dyDescent="0.45">
      <c r="A414" s="82"/>
      <c r="B414"/>
      <c r="C414"/>
      <c r="D414"/>
    </row>
    <row r="415" spans="1:4" ht="15" customHeight="1" x14ac:dyDescent="0.45">
      <c r="A415" s="82"/>
      <c r="B415"/>
      <c r="C415"/>
      <c r="D415"/>
    </row>
    <row r="416" spans="1:4" ht="15" customHeight="1" x14ac:dyDescent="0.45">
      <c r="A416" s="82"/>
      <c r="B416"/>
      <c r="C416"/>
      <c r="D416"/>
    </row>
    <row r="417" spans="1:4" ht="15" customHeight="1" x14ac:dyDescent="0.45">
      <c r="A417" s="82"/>
      <c r="B417"/>
      <c r="C417"/>
      <c r="D417"/>
    </row>
    <row r="418" spans="1:4" ht="15" customHeight="1" x14ac:dyDescent="0.45">
      <c r="A418" s="82"/>
      <c r="B418"/>
      <c r="C418"/>
      <c r="D418"/>
    </row>
    <row r="419" spans="1:4" ht="15" customHeight="1" x14ac:dyDescent="0.45">
      <c r="A419" s="82"/>
      <c r="B419"/>
      <c r="C419"/>
      <c r="D419"/>
    </row>
    <row r="420" spans="1:4" ht="15" customHeight="1" x14ac:dyDescent="0.45">
      <c r="A420" s="82"/>
      <c r="B420"/>
      <c r="C420"/>
      <c r="D420"/>
    </row>
    <row r="421" spans="1:4" ht="15" customHeight="1" x14ac:dyDescent="0.45">
      <c r="A421" s="82"/>
      <c r="B421"/>
      <c r="C421"/>
      <c r="D421"/>
    </row>
    <row r="422" spans="1:4" ht="15" customHeight="1" x14ac:dyDescent="0.45">
      <c r="A422" s="82"/>
      <c r="B422"/>
      <c r="C422"/>
      <c r="D422"/>
    </row>
    <row r="423" spans="1:4" ht="15" customHeight="1" x14ac:dyDescent="0.45">
      <c r="A423" s="82"/>
      <c r="B423"/>
      <c r="C423"/>
      <c r="D423"/>
    </row>
    <row r="424" spans="1:4" ht="15" customHeight="1" x14ac:dyDescent="0.45">
      <c r="A424" s="82"/>
      <c r="B424"/>
      <c r="C424"/>
      <c r="D424"/>
    </row>
    <row r="425" spans="1:4" ht="15" customHeight="1" x14ac:dyDescent="0.45">
      <c r="A425" s="82"/>
      <c r="B425"/>
      <c r="C425"/>
      <c r="D425"/>
    </row>
    <row r="426" spans="1:4" ht="15" customHeight="1" x14ac:dyDescent="0.45">
      <c r="A426" s="82"/>
      <c r="B426"/>
      <c r="C426"/>
      <c r="D426"/>
    </row>
    <row r="427" spans="1:4" ht="15" customHeight="1" x14ac:dyDescent="0.45">
      <c r="A427" s="82"/>
      <c r="B427"/>
      <c r="C427"/>
      <c r="D427"/>
    </row>
    <row r="428" spans="1:4" ht="15" customHeight="1" x14ac:dyDescent="0.45">
      <c r="A428" s="82"/>
      <c r="B428"/>
      <c r="C428"/>
      <c r="D428"/>
    </row>
    <row r="429" spans="1:4" ht="15" customHeight="1" x14ac:dyDescent="0.45">
      <c r="A429" s="82"/>
      <c r="B429"/>
      <c r="C429"/>
      <c r="D429"/>
    </row>
    <row r="430" spans="1:4" ht="15" customHeight="1" x14ac:dyDescent="0.45">
      <c r="A430" s="82"/>
      <c r="B430"/>
      <c r="C430"/>
      <c r="D430"/>
    </row>
    <row r="431" spans="1:4" ht="15" customHeight="1" x14ac:dyDescent="0.45">
      <c r="A431" s="82"/>
      <c r="B431"/>
      <c r="C431"/>
      <c r="D431"/>
    </row>
    <row r="432" spans="1:4" ht="15" customHeight="1" x14ac:dyDescent="0.45">
      <c r="A432" s="82"/>
      <c r="B432"/>
      <c r="C432"/>
      <c r="D432"/>
    </row>
  </sheetData>
  <pageMargins left="0.7" right="0.7" top="0.75" bottom="0.75" header="0.3" footer="0.3"/>
  <pageSetup paperSize="9" scale="27" orientation="landscape" verticalDpi="1200" r:id="rId1"/>
  <headerFooter>
    <oddHeader xml:space="preserve">&amp;R&amp;10&amp;F 
&amp;A
</oddHeader>
    <oddFooter>&amp;L&amp;10© 2016&amp;C&amp;10Page &amp;P of &amp;N&amp;R&amp;G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F4E9E-8DC6-481D-932F-47AF7ABED3C7}">
  <dimension ref="A1:AA425"/>
  <sheetViews>
    <sheetView zoomScale="130" zoomScaleNormal="13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ColWidth="13.86328125" defaultRowHeight="15" customHeight="1" x14ac:dyDescent="0.45"/>
  <cols>
    <col min="1" max="1" width="1.53125" style="15" customWidth="1"/>
    <col min="2" max="2" width="27.19921875" style="16" customWidth="1"/>
    <col min="3" max="4" width="10.1328125" style="16" customWidth="1"/>
    <col min="5" max="5" width="4.796875" customWidth="1"/>
  </cols>
  <sheetData>
    <row r="1" spans="1:27" s="46" customFormat="1" ht="45" customHeight="1" x14ac:dyDescent="0.85">
      <c r="A1" s="5" t="str">
        <f>Info!A1</f>
        <v>Renewable Energy Modeling</v>
      </c>
      <c r="B1" s="10"/>
      <c r="C1" s="84"/>
      <c r="D1" s="10"/>
      <c r="E1" s="1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35" customFormat="1" ht="30" customHeight="1" x14ac:dyDescent="0.65">
      <c r="A2" s="14" t="str">
        <f ca="1">RIGHT(CELL("filename",A1),LEN(CELL("filename",A1))-SEARCH("]",CELL("filename", A1)))</f>
        <v>Cashflow statement</v>
      </c>
      <c r="B2" s="7"/>
      <c r="C2" s="11" t="s">
        <v>11</v>
      </c>
      <c r="D2" s="11" t="s">
        <v>11</v>
      </c>
      <c r="E2" s="11"/>
      <c r="F2" s="11">
        <f>'Assumptions and Outputs'!D11</f>
        <v>55153</v>
      </c>
      <c r="G2" s="11">
        <f>EDATE(F2,12)</f>
        <v>55518</v>
      </c>
      <c r="H2" s="11">
        <f t="shared" ref="H2:AA2" si="0">EDATE(G2,12)</f>
        <v>55884</v>
      </c>
      <c r="I2" s="11">
        <f t="shared" si="0"/>
        <v>56249</v>
      </c>
      <c r="J2" s="11">
        <f t="shared" si="0"/>
        <v>56614</v>
      </c>
      <c r="K2" s="11">
        <f t="shared" si="0"/>
        <v>56979</v>
      </c>
      <c r="L2" s="11">
        <f t="shared" si="0"/>
        <v>57345</v>
      </c>
      <c r="M2" s="11">
        <f t="shared" si="0"/>
        <v>57710</v>
      </c>
      <c r="N2" s="11">
        <f t="shared" si="0"/>
        <v>58075</v>
      </c>
      <c r="O2" s="11">
        <f t="shared" si="0"/>
        <v>58440</v>
      </c>
      <c r="P2" s="11">
        <f t="shared" si="0"/>
        <v>58806</v>
      </c>
      <c r="Q2" s="11">
        <f t="shared" si="0"/>
        <v>59171</v>
      </c>
      <c r="R2" s="11">
        <f t="shared" si="0"/>
        <v>59536</v>
      </c>
      <c r="S2" s="11">
        <f t="shared" si="0"/>
        <v>59901</v>
      </c>
      <c r="T2" s="11">
        <f t="shared" si="0"/>
        <v>60267</v>
      </c>
      <c r="U2" s="11">
        <f t="shared" si="0"/>
        <v>60632</v>
      </c>
      <c r="V2" s="11">
        <f t="shared" si="0"/>
        <v>60997</v>
      </c>
      <c r="W2" s="11">
        <f t="shared" si="0"/>
        <v>61362</v>
      </c>
      <c r="X2" s="11">
        <f t="shared" si="0"/>
        <v>61728</v>
      </c>
      <c r="Y2" s="11">
        <f t="shared" si="0"/>
        <v>62093</v>
      </c>
      <c r="Z2" s="11">
        <f t="shared" si="0"/>
        <v>62458</v>
      </c>
      <c r="AA2" s="11">
        <f t="shared" si="0"/>
        <v>62823</v>
      </c>
    </row>
    <row r="3" spans="1:27" ht="15" customHeight="1" x14ac:dyDescent="0.45">
      <c r="A3" s="82"/>
      <c r="B3" s="77" t="str">
        <f>"all in "&amp;Local_currency&amp;" 000s unless stated"</f>
        <v>all in GBP 000s unless stated</v>
      </c>
      <c r="C3" s="77"/>
      <c r="D3" s="77"/>
      <c r="L3" t="str">
        <f t="shared" ref="L3:L34" ca="1" si="1">IF(ISBLANK(K3),"",_xlfn.FORMULATEXT(K3))</f>
        <v/>
      </c>
    </row>
    <row r="4" spans="1:27" ht="15" customHeight="1" x14ac:dyDescent="0.45">
      <c r="A4" s="82"/>
      <c r="B4" s="77"/>
      <c r="C4" s="77"/>
      <c r="D4" s="77"/>
      <c r="L4" t="str">
        <f t="shared" ca="1" si="1"/>
        <v/>
      </c>
    </row>
    <row r="5" spans="1:27" ht="15" customHeight="1" x14ac:dyDescent="0.45">
      <c r="A5" s="82"/>
      <c r="B5" t="s">
        <v>163</v>
      </c>
      <c r="C5"/>
      <c r="D5"/>
      <c r="F5">
        <f ca="1">'P&amp;L and Tax'!F42</f>
        <v>0</v>
      </c>
      <c r="G5">
        <f ca="1">'P&amp;L and Tax'!G42</f>
        <v>21.49836561339098</v>
      </c>
      <c r="H5">
        <f ca="1">'P&amp;L and Tax'!H42</f>
        <v>-1184.7616720242822</v>
      </c>
      <c r="I5">
        <f ca="1">'P&amp;L and Tax'!I42</f>
        <v>3592.9204558617857</v>
      </c>
      <c r="J5">
        <f ca="1">'P&amp;L and Tax'!J42</f>
        <v>9607.7979325305387</v>
      </c>
      <c r="K5">
        <f ca="1">'P&amp;L and Tax'!K42</f>
        <v>10111.16891712361</v>
      </c>
      <c r="L5">
        <f ca="1">'P&amp;L and Tax'!L42</f>
        <v>10634.781171122671</v>
      </c>
      <c r="M5">
        <f ca="1">'P&amp;L and Tax'!M42</f>
        <v>11179.444345303968</v>
      </c>
      <c r="N5">
        <f ca="1">'P&amp;L and Tax'!N42</f>
        <v>11746.000476474768</v>
      </c>
      <c r="O5">
        <f ca="1">'P&amp;L and Tax'!O42</f>
        <v>12335.325282914688</v>
      </c>
      <c r="P5">
        <f ca="1">'P&amp;L and Tax'!P42</f>
        <v>12948.329511634445</v>
      </c>
      <c r="Q5">
        <f ca="1">'P&amp;L and Tax'!Q42</f>
        <v>13585.960339525271</v>
      </c>
      <c r="R5">
        <f ca="1">'P&amp;L and Tax'!R42</f>
        <v>14249.20283055399</v>
      </c>
      <c r="S5">
        <f ca="1">'P&amp;L and Tax'!S42</f>
        <v>14939.081451246113</v>
      </c>
      <c r="T5">
        <f ca="1">'P&amp;L and Tax'!T42</f>
        <v>15656.66164678819</v>
      </c>
      <c r="U5">
        <f ca="1">'P&amp;L and Tax'!U42</f>
        <v>16403.051480174217</v>
      </c>
      <c r="V5">
        <f ca="1">'P&amp;L and Tax'!V42</f>
        <v>17179.403336917949</v>
      </c>
      <c r="W5">
        <f ca="1">'P&amp;L and Tax'!W42</f>
        <v>17986.9156979537</v>
      </c>
      <c r="X5">
        <f ca="1">'P&amp;L and Tax'!X42</f>
        <v>18805.881572819791</v>
      </c>
      <c r="Y5">
        <f ca="1">'P&amp;L and Tax'!Y42</f>
        <v>15387.515076177391</v>
      </c>
      <c r="Z5">
        <f ca="1">'P&amp;L and Tax'!Z42</f>
        <v>16297.812194564101</v>
      </c>
      <c r="AA5">
        <f ca="1">'P&amp;L and Tax'!AA42</f>
        <v>17237.193759169564</v>
      </c>
    </row>
    <row r="6" spans="1:27" ht="15" customHeight="1" x14ac:dyDescent="0.45">
      <c r="A6" s="82"/>
      <c r="B6" t="s">
        <v>123</v>
      </c>
      <c r="C6"/>
      <c r="D6"/>
      <c r="F6">
        <f ca="1">'Sources and Uses'!F50*-1</f>
        <v>0</v>
      </c>
      <c r="G6">
        <f ca="1">'Sources and Uses'!G50*-1</f>
        <v>0</v>
      </c>
      <c r="H6">
        <f ca="1">'Sources and Uses'!H50*-1</f>
        <v>11918.453754745999</v>
      </c>
      <c r="I6">
        <f ca="1">'Sources and Uses'!I50*-1</f>
        <v>11918.453754745999</v>
      </c>
      <c r="J6">
        <f ca="1">'Sources and Uses'!J50*-1</f>
        <v>11918.453754745999</v>
      </c>
      <c r="K6">
        <f ca="1">'Sources and Uses'!K50*-1</f>
        <v>11918.453754745999</v>
      </c>
      <c r="L6">
        <f ca="1">'Sources and Uses'!L50*-1</f>
        <v>11918.453754745999</v>
      </c>
      <c r="M6">
        <f ca="1">'Sources and Uses'!M50*-1</f>
        <v>11918.453754745999</v>
      </c>
      <c r="N6">
        <f ca="1">'Sources and Uses'!N50*-1</f>
        <v>11918.453754745999</v>
      </c>
      <c r="O6">
        <f ca="1">'Sources and Uses'!O50*-1</f>
        <v>11918.453754745999</v>
      </c>
      <c r="P6">
        <f ca="1">'Sources and Uses'!P50*-1</f>
        <v>11918.453754745999</v>
      </c>
      <c r="Q6">
        <f ca="1">'Sources and Uses'!Q50*-1</f>
        <v>11918.453754745999</v>
      </c>
      <c r="R6">
        <f ca="1">'Sources and Uses'!R50*-1</f>
        <v>11918.453754745999</v>
      </c>
      <c r="S6">
        <f ca="1">'Sources and Uses'!S50*-1</f>
        <v>11918.453754745999</v>
      </c>
      <c r="T6">
        <f ca="1">'Sources and Uses'!T50*-1</f>
        <v>11918.453754745999</v>
      </c>
      <c r="U6">
        <f ca="1">'Sources and Uses'!U50*-1</f>
        <v>11918.453754745999</v>
      </c>
      <c r="V6">
        <f ca="1">'Sources and Uses'!V50*-1</f>
        <v>11918.453754745999</v>
      </c>
      <c r="W6">
        <f ca="1">'Sources and Uses'!W50*-1</f>
        <v>11918.453754745999</v>
      </c>
      <c r="X6">
        <f ca="1">'Sources and Uses'!X50*-1</f>
        <v>11918.453754745999</v>
      </c>
      <c r="Y6">
        <f ca="1">'Sources and Uses'!Y50*-1</f>
        <v>11918.453754745999</v>
      </c>
      <c r="Z6">
        <f ca="1">'Sources and Uses'!Z50*-1</f>
        <v>11918.453754745999</v>
      </c>
      <c r="AA6">
        <f ca="1">'Sources and Uses'!AA50*-1</f>
        <v>11918.453754745868</v>
      </c>
    </row>
    <row r="7" spans="1:27" ht="15" customHeight="1" x14ac:dyDescent="0.45">
      <c r="A7" s="82"/>
      <c r="B7" t="str">
        <f>"Change in "&amp;'Balance sheet'!B13</f>
        <v>Change in Receivables</v>
      </c>
      <c r="C7"/>
      <c r="D7"/>
      <c r="F7">
        <f ca="1">'Balance sheet'!E13-'Balance sheet'!F13</f>
        <v>0</v>
      </c>
      <c r="G7">
        <f ca="1">'Balance sheet'!F13-'Balance sheet'!G13</f>
        <v>0</v>
      </c>
      <c r="H7">
        <f ca="1">'Balance sheet'!G13-'Balance sheet'!H13</f>
        <v>-3483.4693118399878</v>
      </c>
      <c r="I7">
        <f ca="1">'Balance sheet'!H13-'Balance sheet'!I13</f>
        <v>-615.13505267375467</v>
      </c>
      <c r="J7">
        <f ca="1">'Balance sheet'!I13-'Balance sheet'!J13</f>
        <v>-765.84828440927322</v>
      </c>
      <c r="K7">
        <f ca="1">'Balance sheet'!J13-'Balance sheet'!K13</f>
        <v>-121.72898276200522</v>
      </c>
      <c r="L7">
        <f ca="1">'Balance sheet'!K13-'Balance sheet'!L13</f>
        <v>-127.76449848086486</v>
      </c>
      <c r="M7">
        <f ca="1">'Balance sheet'!L13-'Balance sheet'!M13</f>
        <v>-134.04143482848031</v>
      </c>
      <c r="N7">
        <f ca="1">'Balance sheet'!M13-'Balance sheet'!N13</f>
        <v>-140.56944862999808</v>
      </c>
      <c r="O7">
        <f ca="1">'Balance sheet'!N13-'Balance sheet'!O13</f>
        <v>-147.35858298357743</v>
      </c>
      <c r="P7">
        <f ca="1">'Balance sheet'!O13-'Balance sheet'!P13</f>
        <v>-154.41928271129837</v>
      </c>
      <c r="Q7">
        <f ca="1">'Balance sheet'!P13-'Balance sheet'!Q13</f>
        <v>-161.76241042813126</v>
      </c>
      <c r="R7">
        <f ca="1">'Balance sheet'!Q13-'Balance sheet'!R13</f>
        <v>-169.39926325363558</v>
      </c>
      <c r="S7">
        <f ca="1">'Balance sheet'!R13-'Balance sheet'!S13</f>
        <v>-177.34159019215804</v>
      </c>
      <c r="T7">
        <f ca="1">'Balance sheet'!S13-'Balance sheet'!T13</f>
        <v>-185.60161020822488</v>
      </c>
      <c r="U7">
        <f ca="1">'Balance sheet'!T13-'Balance sheet'!U13</f>
        <v>-194.19203102493339</v>
      </c>
      <c r="V7">
        <f ca="1">'Balance sheet'!U13-'Balance sheet'!V13</f>
        <v>-203.12606867430986</v>
      </c>
      <c r="W7">
        <f ca="1">'Balance sheet'!V13-'Balance sheet'!W13</f>
        <v>-212.41746782966129</v>
      </c>
      <c r="X7">
        <f ca="1">'Balance sheet'!W13-'Balance sheet'!X13</f>
        <v>-222.08052295122616</v>
      </c>
      <c r="Y7">
        <f ca="1">'Balance sheet'!X13-'Balance sheet'!Y13</f>
        <v>227.12273552165971</v>
      </c>
      <c r="Z7">
        <f ca="1">'Balance sheet'!Y13-'Balance sheet'!Z13</f>
        <v>-260.37127105430136</v>
      </c>
      <c r="AA7">
        <f ca="1">'Balance sheet'!Z13-'Balance sheet'!AA13</f>
        <v>-271.24089389056462</v>
      </c>
    </row>
    <row r="8" spans="1:27" ht="15" customHeight="1" x14ac:dyDescent="0.45">
      <c r="A8" s="82"/>
      <c r="B8" t="str">
        <f>"Change in "&amp;'Balance sheet'!B18</f>
        <v>Change in Trade payables</v>
      </c>
      <c r="C8"/>
      <c r="D8"/>
      <c r="F8">
        <f>'Balance sheet'!F18-'Balance sheet'!E18</f>
        <v>0</v>
      </c>
      <c r="G8">
        <f>'Balance sheet'!G18-'Balance sheet'!F18</f>
        <v>0</v>
      </c>
      <c r="H8">
        <f>'Balance sheet'!H18-'Balance sheet'!G18</f>
        <v>4268.9398702080007</v>
      </c>
      <c r="I8">
        <f>'Balance sheet'!I18-'Balance sheet'!H18</f>
        <v>319.15437750075671</v>
      </c>
      <c r="J8">
        <f>'Balance sheet'!J18-'Balance sheet'!I18</f>
        <v>183.52376990835</v>
      </c>
      <c r="K8">
        <f>'Balance sheet'!K18-'Balance sheet'!J18</f>
        <v>190.86472070468426</v>
      </c>
      <c r="L8">
        <f>'Balance sheet'!L18-'Balance sheet'!K18</f>
        <v>198.49930953287185</v>
      </c>
      <c r="M8">
        <f>'Balance sheet'!M18-'Balance sheet'!L18</f>
        <v>206.43928191418763</v>
      </c>
      <c r="N8">
        <f>'Balance sheet'!N18-'Balance sheet'!M18</f>
        <v>214.69685319075415</v>
      </c>
      <c r="O8">
        <f>'Balance sheet'!O18-'Balance sheet'!N18</f>
        <v>223.28472731838337</v>
      </c>
      <c r="P8">
        <f>'Balance sheet'!P18-'Balance sheet'!O18</f>
        <v>232.21611641112031</v>
      </c>
      <c r="Q8">
        <f>'Balance sheet'!Q18-'Balance sheet'!P18</f>
        <v>241.50476106756469</v>
      </c>
      <c r="R8">
        <f>'Balance sheet'!R18-'Balance sheet'!Q18</f>
        <v>251.1649515102672</v>
      </c>
      <c r="S8">
        <f>'Balance sheet'!S18-'Balance sheet'!R18</f>
        <v>261.21154957067756</v>
      </c>
      <c r="T8">
        <f>'Balance sheet'!T18-'Balance sheet'!S18</f>
        <v>271.66001155350477</v>
      </c>
      <c r="U8">
        <f>'Balance sheet'!U18-'Balance sheet'!T18</f>
        <v>282.52641201564529</v>
      </c>
      <c r="V8">
        <f>'Balance sheet'!V18-'Balance sheet'!U18</f>
        <v>293.82746849627165</v>
      </c>
      <c r="W8">
        <f>'Balance sheet'!W18-'Balance sheet'!V18</f>
        <v>305.58056723612026</v>
      </c>
      <c r="X8">
        <f>'Balance sheet'!X18-'Balance sheet'!W18</f>
        <v>317.8037899255678</v>
      </c>
      <c r="Y8">
        <f>'Balance sheet'!Y18-'Balance sheet'!X18</f>
        <v>330.51594152258804</v>
      </c>
      <c r="Z8">
        <f>'Balance sheet'!Z18-'Balance sheet'!Y18</f>
        <v>343.73657918349272</v>
      </c>
      <c r="AA8">
        <f>'Balance sheet'!AA18-'Balance sheet'!Z18</f>
        <v>357.48604235083258</v>
      </c>
    </row>
    <row r="9" spans="1:27" ht="15" customHeight="1" x14ac:dyDescent="0.45">
      <c r="A9" s="82"/>
      <c r="B9" t="str">
        <f>"Change in "&amp;'Balance sheet'!B17</f>
        <v>Change in Tax payable</v>
      </c>
      <c r="C9"/>
      <c r="D9"/>
      <c r="F9">
        <f ca="1">'Balance sheet'!F17-'Balance sheet'!E17</f>
        <v>0</v>
      </c>
      <c r="G9">
        <f ca="1">'Balance sheet'!G17-'Balance sheet'!F17</f>
        <v>3.5830609355651633</v>
      </c>
      <c r="H9">
        <f ca="1">'Balance sheet'!H17-'Balance sheet'!G17</f>
        <v>-3.5830609355651633</v>
      </c>
      <c r="I9">
        <f ca="1">'Balance sheet'!I17-'Balance sheet'!H17</f>
        <v>401.35979730625058</v>
      </c>
      <c r="J9">
        <f ca="1">'Balance sheet'!J17-'Balance sheet'!I17</f>
        <v>1199.9398581155058</v>
      </c>
      <c r="K9">
        <f ca="1">'Balance sheet'!K17-'Balance sheet'!J17</f>
        <v>83.895164098845271</v>
      </c>
      <c r="L9">
        <f ca="1">'Balance sheet'!L17-'Balance sheet'!K17</f>
        <v>87.268708999843739</v>
      </c>
      <c r="M9">
        <f ca="1">'Balance sheet'!M17-'Balance sheet'!L17</f>
        <v>90.777195696882472</v>
      </c>
      <c r="N9">
        <f ca="1">'Balance sheet'!N17-'Balance sheet'!M17</f>
        <v>94.426021861800336</v>
      </c>
      <c r="O9">
        <f ca="1">'Balance sheet'!O17-'Balance sheet'!N17</f>
        <v>98.220801073319763</v>
      </c>
      <c r="P9">
        <f ca="1">'Balance sheet'!P17-'Balance sheet'!O17</f>
        <v>102.16737145329307</v>
      </c>
      <c r="Q9">
        <f ca="1">'Balance sheet'!Q17-'Balance sheet'!P17</f>
        <v>106.27180464847061</v>
      </c>
      <c r="R9">
        <f ca="1">'Balance sheet'!R17-'Balance sheet'!Q17</f>
        <v>110.54041517145333</v>
      </c>
      <c r="S9">
        <f ca="1">'Balance sheet'!S17-'Balance sheet'!R17</f>
        <v>114.97977011535386</v>
      </c>
      <c r="T9">
        <f ca="1">'Balance sheet'!T17-'Balance sheet'!S17</f>
        <v>119.59669925701292</v>
      </c>
      <c r="U9">
        <f ca="1">'Balance sheet'!U17-'Balance sheet'!T17</f>
        <v>124.39830556433799</v>
      </c>
      <c r="V9">
        <f ca="1">'Balance sheet'!V17-'Balance sheet'!U17</f>
        <v>129.39197612395492</v>
      </c>
      <c r="W9">
        <f ca="1">'Balance sheet'!W17-'Balance sheet'!V17</f>
        <v>134.58539350595902</v>
      </c>
      <c r="X9">
        <f ca="1">'Balance sheet'!X17-'Balance sheet'!W17</f>
        <v>136.49431247768143</v>
      </c>
      <c r="Y9">
        <f ca="1">'Balance sheet'!Y17-'Balance sheet'!X17</f>
        <v>-569.72774944039975</v>
      </c>
      <c r="Z9">
        <f ca="1">'Balance sheet'!Z17-'Balance sheet'!Y17</f>
        <v>151.7161863977849</v>
      </c>
      <c r="AA9">
        <f ca="1">'Balance sheet'!AA17-'Balance sheet'!Z17</f>
        <v>156.56359410091045</v>
      </c>
    </row>
    <row r="10" spans="1:27" ht="15" customHeight="1" x14ac:dyDescent="0.45">
      <c r="A10" s="82"/>
      <c r="B10" t="s">
        <v>152</v>
      </c>
      <c r="C10" s="77"/>
      <c r="D10"/>
      <c r="F10">
        <f ca="1">SUM(F5:F9)</f>
        <v>0</v>
      </c>
      <c r="G10">
        <f t="shared" ref="G10:K10" ca="1" si="2">SUM(G5:G9)</f>
        <v>25.081426548956145</v>
      </c>
      <c r="H10">
        <f t="shared" ca="1" si="2"/>
        <v>11515.579580154164</v>
      </c>
      <c r="I10">
        <f t="shared" ca="1" si="2"/>
        <v>15616.753332741035</v>
      </c>
      <c r="J10">
        <f t="shared" ca="1" si="2"/>
        <v>22143.867030891121</v>
      </c>
      <c r="K10">
        <f t="shared" ca="1" si="2"/>
        <v>22182.653573911135</v>
      </c>
      <c r="L10">
        <f t="shared" ref="L10:AA10" ca="1" si="3">SUM(L5:L9)</f>
        <v>22711.23844592052</v>
      </c>
      <c r="M10">
        <f t="shared" ca="1" si="3"/>
        <v>23261.073142832556</v>
      </c>
      <c r="N10">
        <f t="shared" ca="1" si="3"/>
        <v>23833.007657643324</v>
      </c>
      <c r="O10">
        <f t="shared" ca="1" si="3"/>
        <v>24427.92598306881</v>
      </c>
      <c r="P10">
        <f t="shared" ca="1" si="3"/>
        <v>25046.747471533556</v>
      </c>
      <c r="Q10">
        <f t="shared" ca="1" si="3"/>
        <v>25690.428249559172</v>
      </c>
      <c r="R10">
        <f t="shared" ca="1" si="3"/>
        <v>26359.962688728076</v>
      </c>
      <c r="S10">
        <f t="shared" ca="1" si="3"/>
        <v>27056.384935485989</v>
      </c>
      <c r="T10">
        <f t="shared" ca="1" si="3"/>
        <v>27780.770502136482</v>
      </c>
      <c r="U10">
        <f t="shared" ca="1" si="3"/>
        <v>28534.237921475265</v>
      </c>
      <c r="V10">
        <f t="shared" ca="1" si="3"/>
        <v>29317.950467609866</v>
      </c>
      <c r="W10">
        <f t="shared" ca="1" si="3"/>
        <v>30133.117945612117</v>
      </c>
      <c r="X10">
        <f t="shared" ca="1" si="3"/>
        <v>30956.552907017813</v>
      </c>
      <c r="Y10">
        <f t="shared" ca="1" si="3"/>
        <v>27293.879758527237</v>
      </c>
      <c r="Z10">
        <f t="shared" ca="1" si="3"/>
        <v>28451.347443837079</v>
      </c>
      <c r="AA10">
        <f t="shared" ca="1" si="3"/>
        <v>29398.456256476609</v>
      </c>
    </row>
    <row r="11" spans="1:27" ht="15" customHeight="1" x14ac:dyDescent="0.45">
      <c r="A11" s="82"/>
      <c r="B11"/>
      <c r="C11" s="77"/>
      <c r="D11"/>
    </row>
    <row r="12" spans="1:27" ht="15" customHeight="1" x14ac:dyDescent="0.45">
      <c r="A12" s="82"/>
      <c r="B12" t="s">
        <v>153</v>
      </c>
      <c r="C12" s="77"/>
      <c r="D12"/>
      <c r="F12">
        <f ca="1">'Sources and Uses'!F49*-1</f>
        <v>-44561.919999999998</v>
      </c>
      <c r="G12">
        <f ca="1">'Sources and Uses'!G49*-1</f>
        <v>-193807.15509491996</v>
      </c>
      <c r="H12">
        <f ca="1">'Sources and Uses'!H49*-1</f>
        <v>0</v>
      </c>
      <c r="I12">
        <f ca="1">'Sources and Uses'!I49*-1</f>
        <v>0</v>
      </c>
      <c r="J12">
        <f ca="1">'Sources and Uses'!J49*-1</f>
        <v>0</v>
      </c>
      <c r="K12">
        <f ca="1">'Sources and Uses'!K49*-1</f>
        <v>0</v>
      </c>
      <c r="L12">
        <f ca="1">'Sources and Uses'!L49*-1</f>
        <v>0</v>
      </c>
      <c r="M12">
        <f ca="1">'Sources and Uses'!M49*-1</f>
        <v>0</v>
      </c>
      <c r="N12">
        <f ca="1">'Sources and Uses'!N49*-1</f>
        <v>0</v>
      </c>
      <c r="O12">
        <f ca="1">'Sources and Uses'!O49*-1</f>
        <v>0</v>
      </c>
      <c r="P12">
        <f ca="1">'Sources and Uses'!P49*-1</f>
        <v>0</v>
      </c>
      <c r="Q12">
        <f ca="1">'Sources and Uses'!Q49*-1</f>
        <v>0</v>
      </c>
      <c r="R12">
        <f ca="1">'Sources and Uses'!R49*-1</f>
        <v>0</v>
      </c>
      <c r="S12">
        <f ca="1">'Sources and Uses'!S49*-1</f>
        <v>0</v>
      </c>
      <c r="T12">
        <f ca="1">'Sources and Uses'!T49*-1</f>
        <v>0</v>
      </c>
      <c r="U12">
        <f ca="1">'Sources and Uses'!U49*-1</f>
        <v>0</v>
      </c>
      <c r="V12">
        <f ca="1">'Sources and Uses'!V49*-1</f>
        <v>0</v>
      </c>
      <c r="W12">
        <f ca="1">'Sources and Uses'!W49*-1</f>
        <v>0</v>
      </c>
      <c r="X12">
        <f ca="1">'Sources and Uses'!X49*-1</f>
        <v>0</v>
      </c>
      <c r="Y12">
        <f ca="1">'Sources and Uses'!Y49*-1</f>
        <v>0</v>
      </c>
      <c r="Z12">
        <f ca="1">'Sources and Uses'!Z49*-1</f>
        <v>0</v>
      </c>
      <c r="AA12">
        <f ca="1">'Sources and Uses'!AA49*-1</f>
        <v>0</v>
      </c>
    </row>
    <row r="13" spans="1:27" ht="15" customHeight="1" x14ac:dyDescent="0.45">
      <c r="A13" s="82"/>
      <c r="B13" t="s">
        <v>154</v>
      </c>
      <c r="C13" s="77"/>
      <c r="D13"/>
      <c r="F13">
        <f ca="1">SUM(F12)</f>
        <v>-44561.919999999998</v>
      </c>
      <c r="G13">
        <f t="shared" ref="G13:K13" ca="1" si="4">SUM(G12)</f>
        <v>-193807.15509491996</v>
      </c>
      <c r="H13">
        <f t="shared" ca="1" si="4"/>
        <v>0</v>
      </c>
      <c r="I13">
        <f t="shared" ca="1" si="4"/>
        <v>0</v>
      </c>
      <c r="J13">
        <f t="shared" ca="1" si="4"/>
        <v>0</v>
      </c>
      <c r="K13">
        <f t="shared" ca="1" si="4"/>
        <v>0</v>
      </c>
      <c r="L13">
        <f t="shared" ref="L13:AA13" ca="1" si="5">SUM(L12)</f>
        <v>0</v>
      </c>
      <c r="M13">
        <f t="shared" ca="1" si="5"/>
        <v>0</v>
      </c>
      <c r="N13">
        <f t="shared" ca="1" si="5"/>
        <v>0</v>
      </c>
      <c r="O13">
        <f t="shared" ca="1" si="5"/>
        <v>0</v>
      </c>
      <c r="P13">
        <f t="shared" ca="1" si="5"/>
        <v>0</v>
      </c>
      <c r="Q13">
        <f t="shared" ca="1" si="5"/>
        <v>0</v>
      </c>
      <c r="R13">
        <f t="shared" ca="1" si="5"/>
        <v>0</v>
      </c>
      <c r="S13">
        <f t="shared" ca="1" si="5"/>
        <v>0</v>
      </c>
      <c r="T13">
        <f t="shared" ca="1" si="5"/>
        <v>0</v>
      </c>
      <c r="U13">
        <f t="shared" ca="1" si="5"/>
        <v>0</v>
      </c>
      <c r="V13">
        <f t="shared" ca="1" si="5"/>
        <v>0</v>
      </c>
      <c r="W13">
        <f t="shared" ca="1" si="5"/>
        <v>0</v>
      </c>
      <c r="X13">
        <f t="shared" ca="1" si="5"/>
        <v>0</v>
      </c>
      <c r="Y13">
        <f t="shared" ca="1" si="5"/>
        <v>0</v>
      </c>
      <c r="Z13">
        <f t="shared" ca="1" si="5"/>
        <v>0</v>
      </c>
      <c r="AA13">
        <f t="shared" ca="1" si="5"/>
        <v>0</v>
      </c>
    </row>
    <row r="14" spans="1:27" ht="15" customHeight="1" x14ac:dyDescent="0.45">
      <c r="A14" s="82"/>
      <c r="B14"/>
      <c r="C14" s="77"/>
      <c r="D14"/>
    </row>
    <row r="15" spans="1:27" ht="15" customHeight="1" x14ac:dyDescent="0.45">
      <c r="A15" s="82"/>
      <c r="B15" t="s">
        <v>155</v>
      </c>
      <c r="C15" s="77"/>
      <c r="D15"/>
      <c r="F15" s="90">
        <f ca="1">Debt!F24-Debt!E24</f>
        <v>0</v>
      </c>
      <c r="G15" s="90">
        <f ca="1">Debt!G24-Debt!F24</f>
        <v>85436.944478465928</v>
      </c>
      <c r="H15" s="90">
        <f ca="1">Debt!H24-Debt!G24</f>
        <v>0</v>
      </c>
      <c r="I15" s="90">
        <f ca="1">Debt!I24-Debt!H24</f>
        <v>0</v>
      </c>
      <c r="J15" s="90">
        <f ca="1">Debt!J24-Debt!I24</f>
        <v>-5695.7962985643971</v>
      </c>
      <c r="K15" s="90">
        <f ca="1">Debt!K24-Debt!J24</f>
        <v>-5695.7962985643971</v>
      </c>
      <c r="L15" s="90">
        <f ca="1">Debt!L24-Debt!K24</f>
        <v>-5695.7962985643971</v>
      </c>
      <c r="M15" s="90">
        <f ca="1">Debt!M24-Debt!L24</f>
        <v>-5695.7962985643971</v>
      </c>
      <c r="N15" s="90">
        <f ca="1">Debt!N24-Debt!M24</f>
        <v>-5695.7962985643971</v>
      </c>
      <c r="O15" s="90">
        <f ca="1">Debt!O24-Debt!N24</f>
        <v>-5695.7962985643971</v>
      </c>
      <c r="P15" s="90">
        <f ca="1">Debt!P24-Debt!O24</f>
        <v>-5695.7962985643971</v>
      </c>
      <c r="Q15" s="90">
        <f ca="1">Debt!Q24-Debt!P24</f>
        <v>-5695.7962985643971</v>
      </c>
      <c r="R15" s="90">
        <f ca="1">Debt!R24-Debt!Q24</f>
        <v>-5695.7962985643971</v>
      </c>
      <c r="S15" s="90">
        <f ca="1">Debt!S24-Debt!R24</f>
        <v>-5695.7962985643971</v>
      </c>
      <c r="T15" s="90">
        <f ca="1">Debt!T24-Debt!S24</f>
        <v>-5695.7962985643971</v>
      </c>
      <c r="U15" s="90">
        <f ca="1">Debt!U24-Debt!T24</f>
        <v>-5695.7962985643971</v>
      </c>
      <c r="V15" s="90">
        <f ca="1">Debt!V24-Debt!U24</f>
        <v>-5695.7962985643953</v>
      </c>
      <c r="W15" s="90">
        <f ca="1">Debt!W24-Debt!V24</f>
        <v>-5695.7962985643953</v>
      </c>
      <c r="X15" s="90">
        <f ca="1">Debt!X24-Debt!W24</f>
        <v>-5695.7962985643717</v>
      </c>
      <c r="Y15" s="90">
        <f ca="1">Debt!Y24-Debt!X24</f>
        <v>0</v>
      </c>
      <c r="Z15" s="90">
        <f ca="1">Debt!Z24-Debt!Y24</f>
        <v>0</v>
      </c>
      <c r="AA15" s="90">
        <f ca="1">Debt!AA24-Debt!Z24</f>
        <v>0</v>
      </c>
    </row>
    <row r="16" spans="1:27" ht="15" customHeight="1" x14ac:dyDescent="0.45">
      <c r="A16" s="82"/>
      <c r="B16" t="s">
        <v>156</v>
      </c>
      <c r="C16" s="77"/>
      <c r="D16"/>
      <c r="F16" s="90">
        <f ca="1">Debt!F32-Debt!E32</f>
        <v>0</v>
      </c>
      <c r="G16" s="90">
        <f ca="1">Debt!G32-Debt!F32</f>
        <v>36615.833347913976</v>
      </c>
      <c r="H16" s="90">
        <f ca="1">Debt!H32-Debt!G32</f>
        <v>0</v>
      </c>
      <c r="I16" s="90">
        <f ca="1">Debt!I32-Debt!H32</f>
        <v>0</v>
      </c>
      <c r="J16" s="90">
        <f ca="1">Debt!J32-Debt!I32</f>
        <v>-2034.2129637729959</v>
      </c>
      <c r="K16" s="90">
        <f ca="1">Debt!K32-Debt!J32</f>
        <v>-2034.2129637729995</v>
      </c>
      <c r="L16" s="90">
        <f ca="1">Debt!L32-Debt!K32</f>
        <v>-2034.2129637729995</v>
      </c>
      <c r="M16" s="90">
        <f ca="1">Debt!M32-Debt!L32</f>
        <v>-2034.2129637729995</v>
      </c>
      <c r="N16" s="90">
        <f ca="1">Debt!N32-Debt!M32</f>
        <v>-2034.2129637729995</v>
      </c>
      <c r="O16" s="90">
        <f ca="1">Debt!O32-Debt!N32</f>
        <v>-2034.2129637729995</v>
      </c>
      <c r="P16" s="90">
        <f ca="1">Debt!P32-Debt!O32</f>
        <v>-2034.2129637729995</v>
      </c>
      <c r="Q16" s="90">
        <f ca="1">Debt!Q32-Debt!P32</f>
        <v>-2034.2129637729995</v>
      </c>
      <c r="R16" s="90">
        <f ca="1">Debt!R32-Debt!Q32</f>
        <v>-2034.2129637729995</v>
      </c>
      <c r="S16" s="90">
        <f ca="1">Debt!S32-Debt!R32</f>
        <v>-2034.2129637729995</v>
      </c>
      <c r="T16" s="90">
        <f ca="1">Debt!T32-Debt!S32</f>
        <v>-2034.2129637729995</v>
      </c>
      <c r="U16" s="90">
        <f ca="1">Debt!U32-Debt!T32</f>
        <v>-2034.2129637729995</v>
      </c>
      <c r="V16" s="90">
        <f ca="1">Debt!V32-Debt!U32</f>
        <v>-2034.2129637729995</v>
      </c>
      <c r="W16" s="90">
        <f ca="1">Debt!W32-Debt!V32</f>
        <v>-2034.2129637729986</v>
      </c>
      <c r="X16" s="90">
        <f ca="1">Debt!X32-Debt!W32</f>
        <v>-2034.2129637729986</v>
      </c>
      <c r="Y16" s="90">
        <f ca="1">Debt!Y32-Debt!X32</f>
        <v>-2034.2129637729986</v>
      </c>
      <c r="Z16" s="90">
        <f ca="1">Debt!Z32-Debt!Y32</f>
        <v>-2034.2129637729986</v>
      </c>
      <c r="AA16" s="90">
        <f ca="1">Debt!AA32-Debt!Z32</f>
        <v>-2034.2129637729922</v>
      </c>
    </row>
    <row r="17" spans="1:27" ht="15" customHeight="1" x14ac:dyDescent="0.45">
      <c r="A17" s="82"/>
      <c r="B17" t="s">
        <v>157</v>
      </c>
      <c r="C17" s="77"/>
      <c r="D17"/>
      <c r="F17">
        <f ca="1">'Sources and Uses'!F60</f>
        <v>44561.919999999998</v>
      </c>
      <c r="G17">
        <f ca="1">'Sources and Uses'!G60</f>
        <v>77490.857826379899</v>
      </c>
      <c r="H17">
        <f ca="1">'Sources and Uses'!H60</f>
        <v>0</v>
      </c>
      <c r="I17">
        <f ca="1">'Sources and Uses'!I60</f>
        <v>0</v>
      </c>
      <c r="J17">
        <f ca="1">'Sources and Uses'!J60</f>
        <v>0</v>
      </c>
      <c r="K17">
        <f ca="1">'Sources and Uses'!K60</f>
        <v>0</v>
      </c>
      <c r="L17">
        <f ca="1">'Sources and Uses'!L60</f>
        <v>0</v>
      </c>
      <c r="M17">
        <f ca="1">'Sources and Uses'!M60</f>
        <v>0</v>
      </c>
      <c r="N17">
        <f ca="1">'Sources and Uses'!N60</f>
        <v>0</v>
      </c>
      <c r="O17">
        <f ca="1">'Sources and Uses'!O60</f>
        <v>0</v>
      </c>
      <c r="P17">
        <f ca="1">'Sources and Uses'!P60</f>
        <v>0</v>
      </c>
      <c r="Q17">
        <f ca="1">'Sources and Uses'!Q60</f>
        <v>0</v>
      </c>
      <c r="R17">
        <f ca="1">'Sources and Uses'!R60</f>
        <v>0</v>
      </c>
      <c r="S17">
        <f ca="1">'Sources and Uses'!S60</f>
        <v>0</v>
      </c>
      <c r="T17">
        <f ca="1">'Sources and Uses'!T60</f>
        <v>0</v>
      </c>
      <c r="U17">
        <f ca="1">'Sources and Uses'!U60</f>
        <v>0</v>
      </c>
      <c r="V17">
        <f ca="1">'Sources and Uses'!V60</f>
        <v>0</v>
      </c>
      <c r="W17">
        <f ca="1">'Sources and Uses'!W60</f>
        <v>0</v>
      </c>
      <c r="X17">
        <f ca="1">'Sources and Uses'!X60</f>
        <v>0</v>
      </c>
      <c r="Y17">
        <f ca="1">'Sources and Uses'!Y60</f>
        <v>0</v>
      </c>
      <c r="Z17">
        <f ca="1">'Sources and Uses'!Z60</f>
        <v>0</v>
      </c>
      <c r="AA17">
        <f ca="1">'Sources and Uses'!AA60</f>
        <v>0</v>
      </c>
    </row>
    <row r="18" spans="1:27" ht="15" customHeight="1" x14ac:dyDescent="0.45">
      <c r="A18" s="82"/>
      <c r="B18" t="s">
        <v>164</v>
      </c>
      <c r="C18" s="77"/>
      <c r="D18"/>
      <c r="F18" s="90">
        <f ca="1">Debt!F47</f>
        <v>0</v>
      </c>
      <c r="G18" s="90">
        <f ca="1">Debt!G47</f>
        <v>0</v>
      </c>
      <c r="H18" s="90">
        <f ca="1">Debt!H47</f>
        <v>-11483.31411642937</v>
      </c>
      <c r="I18" s="90">
        <f ca="1">Debt!I47</f>
        <v>-8026.3463960804838</v>
      </c>
      <c r="J18" s="90">
        <f ca="1">Debt!J47</f>
        <v>-14732.635213680664</v>
      </c>
      <c r="K18" s="90">
        <f ca="1">Debt!K47</f>
        <v>-14810.958719864571</v>
      </c>
      <c r="L18" s="90">
        <f ca="1">Debt!L47</f>
        <v>-15339.543591873949</v>
      </c>
      <c r="M18" s="90">
        <f ca="1">Debt!M47</f>
        <v>-15889.378288785989</v>
      </c>
      <c r="N18" s="90">
        <f ca="1">Debt!N47</f>
        <v>-16461.312803596764</v>
      </c>
      <c r="O18" s="90">
        <f ca="1">Debt!O47</f>
        <v>-17056.231129022246</v>
      </c>
      <c r="P18" s="90">
        <f ca="1">Debt!P47</f>
        <v>-17675.052617486996</v>
      </c>
      <c r="Q18" s="90">
        <f ca="1">Debt!Q47</f>
        <v>-18318.733395512601</v>
      </c>
      <c r="R18" s="90">
        <f ca="1">Debt!R47</f>
        <v>-18988.267834681516</v>
      </c>
      <c r="S18" s="90">
        <f ca="1">Debt!S47</f>
        <v>-19684.690081439418</v>
      </c>
      <c r="T18" s="90">
        <f ca="1">Debt!T47</f>
        <v>-20409.075648089914</v>
      </c>
      <c r="U18" s="90">
        <f ca="1">Debt!U47</f>
        <v>-21162.543067428698</v>
      </c>
      <c r="V18" s="90">
        <f ca="1">Debt!V47</f>
        <v>-21946.255613563299</v>
      </c>
      <c r="W18" s="90">
        <f ca="1">Debt!W47</f>
        <v>-22761.423091565575</v>
      </c>
      <c r="X18" s="90">
        <f ca="1">Debt!X47</f>
        <v>-29200.372102707381</v>
      </c>
      <c r="Y18" s="90">
        <f ca="1">Debt!Y47</f>
        <v>-25428.396623247354</v>
      </c>
      <c r="Z18" s="90">
        <f ca="1">Debt!Z47</f>
        <v>-26556.844226416011</v>
      </c>
      <c r="AA18" s="90">
        <f ca="1">Debt!AA47</f>
        <v>-29478.828010675279</v>
      </c>
    </row>
    <row r="19" spans="1:27" ht="15" customHeight="1" x14ac:dyDescent="0.45">
      <c r="A19" s="82"/>
      <c r="B19" t="s">
        <v>165</v>
      </c>
      <c r="C19" s="77"/>
      <c r="D19"/>
      <c r="F19">
        <f ca="1">SUM(F15:F18)</f>
        <v>44561.919999999998</v>
      </c>
      <c r="G19">
        <f t="shared" ref="G19:K19" ca="1" si="6">SUM(G15:G18)</f>
        <v>199543.63565275981</v>
      </c>
      <c r="H19">
        <f t="shared" ca="1" si="6"/>
        <v>-11483.31411642937</v>
      </c>
      <c r="I19">
        <f t="shared" ca="1" si="6"/>
        <v>-8026.3463960804838</v>
      </c>
      <c r="J19">
        <f t="shared" ca="1" si="6"/>
        <v>-22462.644476018057</v>
      </c>
      <c r="K19">
        <f t="shared" ca="1" si="6"/>
        <v>-22540.967982201968</v>
      </c>
      <c r="L19">
        <f t="shared" ref="L19:AA19" ca="1" si="7">SUM(L15:L18)</f>
        <v>-23069.552854211346</v>
      </c>
      <c r="M19">
        <f t="shared" ca="1" si="7"/>
        <v>-23619.387551123385</v>
      </c>
      <c r="N19">
        <f t="shared" ca="1" si="7"/>
        <v>-24191.32206593416</v>
      </c>
      <c r="O19">
        <f t="shared" ca="1" si="7"/>
        <v>-24786.240391359643</v>
      </c>
      <c r="P19">
        <f t="shared" ca="1" si="7"/>
        <v>-25405.061879824392</v>
      </c>
      <c r="Q19">
        <f t="shared" ca="1" si="7"/>
        <v>-26048.742657849998</v>
      </c>
      <c r="R19">
        <f t="shared" ca="1" si="7"/>
        <v>-26718.277097018912</v>
      </c>
      <c r="S19">
        <f t="shared" ca="1" si="7"/>
        <v>-27414.699343776814</v>
      </c>
      <c r="T19">
        <f t="shared" ca="1" si="7"/>
        <v>-28139.084910427311</v>
      </c>
      <c r="U19">
        <f t="shared" ca="1" si="7"/>
        <v>-28892.552329766095</v>
      </c>
      <c r="V19">
        <f t="shared" ca="1" si="7"/>
        <v>-29676.264875900692</v>
      </c>
      <c r="W19">
        <f t="shared" ca="1" si="7"/>
        <v>-30491.432353902968</v>
      </c>
      <c r="X19">
        <f t="shared" ca="1" si="7"/>
        <v>-36930.381365044748</v>
      </c>
      <c r="Y19">
        <f t="shared" ca="1" si="7"/>
        <v>-27462.609587020354</v>
      </c>
      <c r="Z19">
        <f t="shared" ca="1" si="7"/>
        <v>-28591.057190189011</v>
      </c>
      <c r="AA19">
        <f t="shared" ca="1" si="7"/>
        <v>-31513.040974448271</v>
      </c>
    </row>
    <row r="20" spans="1:27" ht="15" customHeight="1" x14ac:dyDescent="0.45">
      <c r="A20" s="82"/>
      <c r="B20"/>
      <c r="C20" s="77"/>
      <c r="D20"/>
    </row>
    <row r="21" spans="1:27" ht="15" customHeight="1" x14ac:dyDescent="0.45">
      <c r="A21" s="82"/>
      <c r="B21" t="s">
        <v>167</v>
      </c>
      <c r="F21">
        <f>E23</f>
        <v>0</v>
      </c>
      <c r="G21">
        <f t="shared" ref="G21:K21" ca="1" si="8">F23</f>
        <v>0</v>
      </c>
      <c r="H21">
        <f t="shared" ca="1" si="8"/>
        <v>5761.561984388798</v>
      </c>
      <c r="I21">
        <f t="shared" ca="1" si="8"/>
        <v>5793.8274481135923</v>
      </c>
      <c r="J21">
        <f t="shared" ca="1" si="8"/>
        <v>13384.234384774143</v>
      </c>
      <c r="K21">
        <f t="shared" ca="1" si="8"/>
        <v>13065.456939647207</v>
      </c>
      <c r="L21">
        <f t="shared" ref="L21" ca="1" si="9">K23</f>
        <v>12707.142531356374</v>
      </c>
      <c r="M21">
        <f t="shared" ref="M21" ca="1" si="10">L23</f>
        <v>12348.828123065548</v>
      </c>
      <c r="N21">
        <f t="shared" ref="N21" ca="1" si="11">M23</f>
        <v>11990.513714774719</v>
      </c>
      <c r="O21">
        <f t="shared" ref="O21" ca="1" si="12">N23</f>
        <v>11632.199306483883</v>
      </c>
      <c r="P21">
        <f t="shared" ref="P21" ca="1" si="13">O23</f>
        <v>11273.88489819305</v>
      </c>
      <c r="Q21">
        <f t="shared" ref="Q21" ca="1" si="14">P23</f>
        <v>10915.570489902213</v>
      </c>
      <c r="R21">
        <f t="shared" ref="R21" ca="1" si="15">Q23</f>
        <v>10557.256081611387</v>
      </c>
      <c r="S21">
        <f t="shared" ref="S21" ca="1" si="16">R23</f>
        <v>10198.941673320551</v>
      </c>
      <c r="T21">
        <f t="shared" ref="T21" ca="1" si="17">S23</f>
        <v>9840.6272650297251</v>
      </c>
      <c r="U21">
        <f t="shared" ref="U21" ca="1" si="18">T23</f>
        <v>9482.3128567388958</v>
      </c>
      <c r="V21">
        <f t="shared" ref="V21" ca="1" si="19">U23</f>
        <v>9123.9984484480665</v>
      </c>
      <c r="W21">
        <f t="shared" ref="W21" ca="1" si="20">V23</f>
        <v>8765.6840401572408</v>
      </c>
      <c r="X21">
        <f t="shared" ref="X21" ca="1" si="21">W23</f>
        <v>8407.3696318663897</v>
      </c>
      <c r="Y21">
        <f t="shared" ref="Y21" ca="1" si="22">X23</f>
        <v>2433.5411738394541</v>
      </c>
      <c r="Z21">
        <f t="shared" ref="Z21" ca="1" si="23">Y23</f>
        <v>2264.8113453463375</v>
      </c>
      <c r="AA21">
        <f t="shared" ref="AA21" ca="1" si="24">Z23</f>
        <v>2125.1015989944062</v>
      </c>
    </row>
    <row r="22" spans="1:27" ht="15" customHeight="1" x14ac:dyDescent="0.45">
      <c r="A22" s="82"/>
      <c r="B22" t="s">
        <v>166</v>
      </c>
      <c r="C22" s="77"/>
      <c r="D22"/>
      <c r="F22">
        <f ca="1">F10+F13+F19</f>
        <v>0</v>
      </c>
      <c r="G22">
        <f t="shared" ref="G22:K22" ca="1" si="25">G10+G13+G19</f>
        <v>5761.561984388798</v>
      </c>
      <c r="H22">
        <f t="shared" ca="1" si="25"/>
        <v>32.265463724794245</v>
      </c>
      <c r="I22">
        <f t="shared" ca="1" si="25"/>
        <v>7590.4069366605509</v>
      </c>
      <c r="J22">
        <f t="shared" ca="1" si="25"/>
        <v>-318.77744512693607</v>
      </c>
      <c r="K22">
        <f t="shared" ca="1" si="25"/>
        <v>-358.31440829083294</v>
      </c>
      <c r="L22">
        <f t="shared" ref="L22:AA22" ca="1" si="26">L10+L13+L19</f>
        <v>-358.31440829082567</v>
      </c>
      <c r="M22">
        <f t="shared" ca="1" si="26"/>
        <v>-358.31440829082931</v>
      </c>
      <c r="N22">
        <f t="shared" ca="1" si="26"/>
        <v>-358.31440829083658</v>
      </c>
      <c r="O22">
        <f t="shared" ca="1" si="26"/>
        <v>-358.31440829083294</v>
      </c>
      <c r="P22">
        <f t="shared" ca="1" si="26"/>
        <v>-358.31440829083658</v>
      </c>
      <c r="Q22">
        <f t="shared" ca="1" si="26"/>
        <v>-358.31440829082567</v>
      </c>
      <c r="R22">
        <f t="shared" ca="1" si="26"/>
        <v>-358.31440829083658</v>
      </c>
      <c r="S22">
        <f t="shared" ca="1" si="26"/>
        <v>-358.31440829082567</v>
      </c>
      <c r="T22">
        <f t="shared" ca="1" si="26"/>
        <v>-358.31440829082931</v>
      </c>
      <c r="U22">
        <f t="shared" ca="1" si="26"/>
        <v>-358.31440829082931</v>
      </c>
      <c r="V22">
        <f t="shared" ca="1" si="26"/>
        <v>-358.31440829082567</v>
      </c>
      <c r="W22">
        <f t="shared" ca="1" si="26"/>
        <v>-358.31440829085113</v>
      </c>
      <c r="X22">
        <f t="shared" ca="1" si="26"/>
        <v>-5973.8284580269356</v>
      </c>
      <c r="Y22">
        <f t="shared" ca="1" si="26"/>
        <v>-168.72982849311666</v>
      </c>
      <c r="Z22">
        <f t="shared" ca="1" si="26"/>
        <v>-139.70974635193124</v>
      </c>
      <c r="AA22">
        <f t="shared" ca="1" si="26"/>
        <v>-2114.584717971662</v>
      </c>
    </row>
    <row r="23" spans="1:27" ht="15" customHeight="1" x14ac:dyDescent="0.45">
      <c r="A23" s="82"/>
      <c r="B23" t="s">
        <v>168</v>
      </c>
      <c r="C23" s="77"/>
      <c r="D23"/>
      <c r="E23" s="83">
        <v>0</v>
      </c>
      <c r="F23">
        <f ca="1">SUM(F21:F22)</f>
        <v>0</v>
      </c>
      <c r="G23">
        <f t="shared" ref="G23:K23" ca="1" si="27">SUM(G21:G22)</f>
        <v>5761.561984388798</v>
      </c>
      <c r="H23">
        <f t="shared" ca="1" si="27"/>
        <v>5793.8274481135923</v>
      </c>
      <c r="I23">
        <f t="shared" ca="1" si="27"/>
        <v>13384.234384774143</v>
      </c>
      <c r="J23">
        <f t="shared" ca="1" si="27"/>
        <v>13065.456939647207</v>
      </c>
      <c r="K23">
        <f t="shared" ca="1" si="27"/>
        <v>12707.142531356374</v>
      </c>
      <c r="L23">
        <f t="shared" ref="L23:AA23" ca="1" si="28">SUM(L21:L22)</f>
        <v>12348.828123065548</v>
      </c>
      <c r="M23">
        <f t="shared" ca="1" si="28"/>
        <v>11990.513714774719</v>
      </c>
      <c r="N23">
        <f t="shared" ca="1" si="28"/>
        <v>11632.199306483883</v>
      </c>
      <c r="O23">
        <f t="shared" ca="1" si="28"/>
        <v>11273.88489819305</v>
      </c>
      <c r="P23">
        <f t="shared" ca="1" si="28"/>
        <v>10915.570489902213</v>
      </c>
      <c r="Q23">
        <f t="shared" ca="1" si="28"/>
        <v>10557.256081611387</v>
      </c>
      <c r="R23">
        <f t="shared" ca="1" si="28"/>
        <v>10198.941673320551</v>
      </c>
      <c r="S23">
        <f t="shared" ca="1" si="28"/>
        <v>9840.6272650297251</v>
      </c>
      <c r="T23">
        <f t="shared" ca="1" si="28"/>
        <v>9482.3128567388958</v>
      </c>
      <c r="U23">
        <f t="shared" ca="1" si="28"/>
        <v>9123.9984484480665</v>
      </c>
      <c r="V23">
        <f t="shared" ca="1" si="28"/>
        <v>8765.6840401572408</v>
      </c>
      <c r="W23">
        <f t="shared" ca="1" si="28"/>
        <v>8407.3696318663897</v>
      </c>
      <c r="X23">
        <f t="shared" ca="1" si="28"/>
        <v>2433.5411738394541</v>
      </c>
      <c r="Y23">
        <f t="shared" ca="1" si="28"/>
        <v>2264.8113453463375</v>
      </c>
      <c r="Z23">
        <f t="shared" ca="1" si="28"/>
        <v>2125.1015989944062</v>
      </c>
      <c r="AA23">
        <f t="shared" ca="1" si="28"/>
        <v>10.516881022744201</v>
      </c>
    </row>
    <row r="24" spans="1:27" ht="15" customHeight="1" x14ac:dyDescent="0.45">
      <c r="A24" s="82"/>
      <c r="B24"/>
      <c r="C24" s="77"/>
      <c r="D24"/>
      <c r="L24" t="str">
        <f t="shared" ca="1" si="1"/>
        <v/>
      </c>
    </row>
    <row r="25" spans="1:27" ht="15" customHeight="1" x14ac:dyDescent="0.45">
      <c r="A25" s="59" t="s">
        <v>43</v>
      </c>
      <c r="B25"/>
      <c r="C25" s="77"/>
      <c r="D25"/>
      <c r="L25" t="str">
        <f t="shared" ca="1" si="1"/>
        <v/>
      </c>
    </row>
    <row r="26" spans="1:27" ht="15" customHeight="1" x14ac:dyDescent="0.45">
      <c r="A26" s="82"/>
      <c r="B26"/>
      <c r="C26" s="77"/>
      <c r="D26"/>
      <c r="L26" t="str">
        <f t="shared" ca="1" si="1"/>
        <v/>
      </c>
    </row>
    <row r="27" spans="1:27" ht="15" customHeight="1" x14ac:dyDescent="0.45">
      <c r="A27" s="82"/>
      <c r="B27"/>
      <c r="C27" s="77"/>
      <c r="D27"/>
      <c r="L27" t="str">
        <f t="shared" ca="1" si="1"/>
        <v/>
      </c>
    </row>
    <row r="28" spans="1:27" ht="15" customHeight="1" x14ac:dyDescent="0.45">
      <c r="A28" s="82"/>
      <c r="B28"/>
      <c r="C28" s="77"/>
      <c r="D28"/>
      <c r="L28" t="str">
        <f t="shared" ca="1" si="1"/>
        <v/>
      </c>
    </row>
    <row r="29" spans="1:27" ht="15" customHeight="1" x14ac:dyDescent="0.45">
      <c r="A29" s="82"/>
      <c r="B29"/>
      <c r="C29" s="77"/>
      <c r="D29"/>
      <c r="L29" t="str">
        <f t="shared" ca="1" si="1"/>
        <v/>
      </c>
    </row>
    <row r="30" spans="1:27" ht="15" customHeight="1" x14ac:dyDescent="0.45">
      <c r="A30" s="82"/>
      <c r="B30"/>
      <c r="C30" s="77"/>
      <c r="D30"/>
      <c r="L30" t="str">
        <f t="shared" ca="1" si="1"/>
        <v/>
      </c>
    </row>
    <row r="31" spans="1:27" ht="15" customHeight="1" x14ac:dyDescent="0.45">
      <c r="A31" s="82"/>
      <c r="B31"/>
      <c r="C31" s="77"/>
      <c r="D31"/>
      <c r="L31" t="str">
        <f t="shared" ca="1" si="1"/>
        <v/>
      </c>
    </row>
    <row r="32" spans="1:27" ht="15" customHeight="1" x14ac:dyDescent="0.45">
      <c r="A32" s="82"/>
      <c r="B32"/>
      <c r="C32" s="77"/>
      <c r="D32"/>
      <c r="L32" t="str">
        <f t="shared" ca="1" si="1"/>
        <v/>
      </c>
    </row>
    <row r="33" spans="1:12" ht="15" customHeight="1" x14ac:dyDescent="0.45">
      <c r="A33" s="82"/>
      <c r="B33"/>
      <c r="C33" s="77"/>
      <c r="D33"/>
      <c r="L33" t="str">
        <f t="shared" ca="1" si="1"/>
        <v/>
      </c>
    </row>
    <row r="34" spans="1:12" ht="15" customHeight="1" x14ac:dyDescent="0.45">
      <c r="A34" s="82"/>
      <c r="B34"/>
      <c r="C34" s="77"/>
      <c r="D34"/>
      <c r="L34" t="str">
        <f t="shared" ca="1" si="1"/>
        <v/>
      </c>
    </row>
    <row r="35" spans="1:12" ht="15" customHeight="1" x14ac:dyDescent="0.45">
      <c r="A35" s="82"/>
      <c r="B35"/>
      <c r="C35" s="77"/>
      <c r="D35"/>
      <c r="L35" t="str">
        <f t="shared" ref="L35:L57" ca="1" si="29">IF(ISBLANK(K35),"",_xlfn.FORMULATEXT(K35))</f>
        <v/>
      </c>
    </row>
    <row r="36" spans="1:12" ht="15" customHeight="1" x14ac:dyDescent="0.45">
      <c r="A36" s="82"/>
      <c r="B36"/>
      <c r="C36" s="77"/>
      <c r="D36"/>
      <c r="L36" t="str">
        <f t="shared" ca="1" si="29"/>
        <v/>
      </c>
    </row>
    <row r="37" spans="1:12" ht="15" customHeight="1" x14ac:dyDescent="0.45">
      <c r="A37" s="82"/>
      <c r="B37"/>
      <c r="C37" s="77"/>
      <c r="D37"/>
      <c r="L37" t="str">
        <f t="shared" ca="1" si="29"/>
        <v/>
      </c>
    </row>
    <row r="38" spans="1:12" ht="15" customHeight="1" x14ac:dyDescent="0.45">
      <c r="A38" s="82"/>
      <c r="B38"/>
      <c r="C38" s="77"/>
      <c r="D38"/>
      <c r="L38" t="str">
        <f t="shared" ca="1" si="29"/>
        <v/>
      </c>
    </row>
    <row r="39" spans="1:12" ht="15" customHeight="1" x14ac:dyDescent="0.45">
      <c r="A39" s="82"/>
      <c r="B39"/>
      <c r="C39" s="77"/>
      <c r="D39"/>
      <c r="L39" t="str">
        <f t="shared" ca="1" si="29"/>
        <v/>
      </c>
    </row>
    <row r="40" spans="1:12" ht="15" customHeight="1" x14ac:dyDescent="0.45">
      <c r="A40" s="82"/>
      <c r="B40"/>
      <c r="C40" s="77"/>
      <c r="D40"/>
      <c r="L40" t="str">
        <f t="shared" ca="1" si="29"/>
        <v/>
      </c>
    </row>
    <row r="41" spans="1:12" ht="15" customHeight="1" x14ac:dyDescent="0.45">
      <c r="A41" s="82"/>
      <c r="B41"/>
      <c r="C41" s="77"/>
      <c r="D41"/>
      <c r="L41" t="str">
        <f t="shared" ca="1" si="29"/>
        <v/>
      </c>
    </row>
    <row r="42" spans="1:12" ht="15" customHeight="1" x14ac:dyDescent="0.45">
      <c r="A42" s="82"/>
      <c r="B42"/>
      <c r="C42" s="77"/>
      <c r="D42"/>
      <c r="L42" t="str">
        <f t="shared" ca="1" si="29"/>
        <v/>
      </c>
    </row>
    <row r="43" spans="1:12" ht="15" customHeight="1" x14ac:dyDescent="0.45">
      <c r="A43" s="82"/>
      <c r="B43"/>
      <c r="C43" s="77"/>
      <c r="D43"/>
      <c r="L43" t="str">
        <f t="shared" ca="1" si="29"/>
        <v/>
      </c>
    </row>
    <row r="44" spans="1:12" ht="15" customHeight="1" x14ac:dyDescent="0.45">
      <c r="A44" s="82"/>
      <c r="B44"/>
      <c r="C44" s="77"/>
      <c r="D44"/>
      <c r="L44" t="str">
        <f t="shared" ca="1" si="29"/>
        <v/>
      </c>
    </row>
    <row r="45" spans="1:12" ht="15" customHeight="1" x14ac:dyDescent="0.45">
      <c r="A45" s="82"/>
      <c r="B45"/>
      <c r="C45" s="77"/>
      <c r="D45"/>
      <c r="L45" t="str">
        <f t="shared" ca="1" si="29"/>
        <v/>
      </c>
    </row>
    <row r="46" spans="1:12" ht="15" customHeight="1" x14ac:dyDescent="0.45">
      <c r="A46" s="82"/>
      <c r="B46"/>
      <c r="C46" s="77"/>
      <c r="D46"/>
      <c r="L46" t="str">
        <f t="shared" ca="1" si="29"/>
        <v/>
      </c>
    </row>
    <row r="47" spans="1:12" ht="15" customHeight="1" x14ac:dyDescent="0.45">
      <c r="A47" s="82"/>
      <c r="B47"/>
      <c r="C47" s="77"/>
      <c r="D47"/>
      <c r="L47" t="str">
        <f t="shared" ca="1" si="29"/>
        <v/>
      </c>
    </row>
    <row r="48" spans="1:12" ht="15" customHeight="1" x14ac:dyDescent="0.45">
      <c r="A48" s="82"/>
      <c r="B48"/>
      <c r="C48" s="77"/>
      <c r="D48"/>
      <c r="L48" t="str">
        <f t="shared" ca="1" si="29"/>
        <v/>
      </c>
    </row>
    <row r="49" spans="1:12" ht="15" customHeight="1" x14ac:dyDescent="0.45">
      <c r="A49" s="82"/>
      <c r="B49"/>
      <c r="C49" s="77"/>
      <c r="D49"/>
      <c r="L49" t="str">
        <f t="shared" ca="1" si="29"/>
        <v/>
      </c>
    </row>
    <row r="50" spans="1:12" ht="15" customHeight="1" x14ac:dyDescent="0.45">
      <c r="A50" s="82"/>
      <c r="B50"/>
      <c r="C50" s="77"/>
      <c r="D50"/>
      <c r="L50" t="str">
        <f t="shared" ca="1" si="29"/>
        <v/>
      </c>
    </row>
    <row r="51" spans="1:12" ht="15" customHeight="1" x14ac:dyDescent="0.45">
      <c r="A51" s="82"/>
      <c r="B51"/>
      <c r="C51" s="77"/>
      <c r="D51"/>
      <c r="L51" t="str">
        <f t="shared" ca="1" si="29"/>
        <v/>
      </c>
    </row>
    <row r="52" spans="1:12" ht="15" customHeight="1" x14ac:dyDescent="0.45">
      <c r="A52" s="82"/>
      <c r="B52"/>
      <c r="C52" s="77"/>
      <c r="D52"/>
      <c r="L52" t="str">
        <f t="shared" ca="1" si="29"/>
        <v/>
      </c>
    </row>
    <row r="53" spans="1:12" ht="15" customHeight="1" x14ac:dyDescent="0.45">
      <c r="A53" s="82"/>
      <c r="B53"/>
      <c r="C53" s="77"/>
      <c r="D53"/>
      <c r="L53" t="str">
        <f t="shared" ca="1" si="29"/>
        <v/>
      </c>
    </row>
    <row r="54" spans="1:12" ht="15" customHeight="1" x14ac:dyDescent="0.45">
      <c r="A54" s="82"/>
      <c r="B54"/>
      <c r="C54" s="77"/>
      <c r="D54"/>
      <c r="L54" t="str">
        <f t="shared" ca="1" si="29"/>
        <v/>
      </c>
    </row>
    <row r="55" spans="1:12" ht="15" customHeight="1" x14ac:dyDescent="0.45">
      <c r="A55" s="82"/>
      <c r="B55"/>
      <c r="C55" s="77"/>
      <c r="D55"/>
      <c r="L55" t="str">
        <f t="shared" ca="1" si="29"/>
        <v/>
      </c>
    </row>
    <row r="56" spans="1:12" ht="15" customHeight="1" x14ac:dyDescent="0.45">
      <c r="A56" s="82"/>
      <c r="B56"/>
      <c r="C56" s="77"/>
      <c r="D56"/>
      <c r="L56" t="str">
        <f t="shared" ca="1" si="29"/>
        <v/>
      </c>
    </row>
    <row r="57" spans="1:12" ht="15" customHeight="1" x14ac:dyDescent="0.45">
      <c r="A57" s="82"/>
      <c r="B57"/>
      <c r="C57" s="77"/>
      <c r="D57"/>
      <c r="L57" t="str">
        <f t="shared" ca="1" si="29"/>
        <v/>
      </c>
    </row>
    <row r="58" spans="1:12" ht="15" customHeight="1" x14ac:dyDescent="0.45">
      <c r="A58" s="82"/>
      <c r="B58"/>
      <c r="C58" s="77"/>
      <c r="D58"/>
    </row>
    <row r="59" spans="1:12" ht="15" customHeight="1" x14ac:dyDescent="0.45">
      <c r="A59" s="82"/>
      <c r="B59"/>
      <c r="C59" s="77"/>
      <c r="D59"/>
    </row>
    <row r="60" spans="1:12" ht="15" customHeight="1" x14ac:dyDescent="0.45">
      <c r="A60" s="82"/>
      <c r="B60"/>
      <c r="C60" s="77"/>
      <c r="D60"/>
    </row>
    <row r="61" spans="1:12" ht="15" customHeight="1" x14ac:dyDescent="0.45">
      <c r="A61" s="82"/>
      <c r="B61"/>
      <c r="C61" s="77"/>
      <c r="D61"/>
    </row>
    <row r="62" spans="1:12" ht="15" customHeight="1" x14ac:dyDescent="0.45">
      <c r="A62" s="82"/>
      <c r="B62"/>
      <c r="C62" s="77"/>
      <c r="D62"/>
    </row>
    <row r="63" spans="1:12" ht="15" customHeight="1" x14ac:dyDescent="0.45">
      <c r="A63" s="82"/>
      <c r="B63"/>
      <c r="C63" s="77"/>
      <c r="D63"/>
    </row>
    <row r="64" spans="1:12" ht="15" customHeight="1" x14ac:dyDescent="0.45">
      <c r="A64" s="82"/>
      <c r="B64"/>
      <c r="C64" s="77"/>
      <c r="D64"/>
    </row>
    <row r="65" spans="1:4" ht="15" customHeight="1" x14ac:dyDescent="0.45">
      <c r="A65" s="82"/>
      <c r="B65"/>
      <c r="C65" s="77"/>
      <c r="D65"/>
    </row>
    <row r="66" spans="1:4" ht="15" customHeight="1" x14ac:dyDescent="0.45">
      <c r="A66" s="82"/>
      <c r="B66"/>
      <c r="C66" s="77"/>
      <c r="D66"/>
    </row>
    <row r="67" spans="1:4" ht="15" customHeight="1" x14ac:dyDescent="0.45">
      <c r="A67" s="82"/>
      <c r="B67"/>
      <c r="C67" s="77"/>
      <c r="D67"/>
    </row>
    <row r="68" spans="1:4" ht="15" customHeight="1" x14ac:dyDescent="0.45">
      <c r="A68" s="82"/>
      <c r="B68"/>
      <c r="C68" s="77"/>
      <c r="D68"/>
    </row>
    <row r="69" spans="1:4" ht="15" customHeight="1" x14ac:dyDescent="0.45">
      <c r="A69" s="82"/>
      <c r="B69"/>
      <c r="C69" s="77"/>
      <c r="D69"/>
    </row>
    <row r="70" spans="1:4" ht="15" customHeight="1" x14ac:dyDescent="0.45">
      <c r="A70" s="82"/>
      <c r="B70"/>
      <c r="C70" s="77"/>
      <c r="D70"/>
    </row>
    <row r="71" spans="1:4" ht="15" customHeight="1" x14ac:dyDescent="0.45">
      <c r="A71" s="82"/>
      <c r="B71"/>
      <c r="C71" s="77"/>
      <c r="D71"/>
    </row>
    <row r="72" spans="1:4" ht="15" customHeight="1" x14ac:dyDescent="0.45">
      <c r="A72" s="82"/>
      <c r="B72"/>
      <c r="C72" s="77"/>
      <c r="D72"/>
    </row>
    <row r="73" spans="1:4" ht="15" customHeight="1" x14ac:dyDescent="0.45">
      <c r="A73" s="82"/>
      <c r="B73"/>
      <c r="C73" s="77"/>
      <c r="D73"/>
    </row>
    <row r="74" spans="1:4" ht="15" customHeight="1" x14ac:dyDescent="0.45">
      <c r="A74" s="82"/>
      <c r="B74"/>
      <c r="C74" s="77"/>
      <c r="D74"/>
    </row>
    <row r="75" spans="1:4" ht="15" customHeight="1" x14ac:dyDescent="0.45">
      <c r="A75" s="82"/>
      <c r="B75"/>
      <c r="C75" s="77"/>
      <c r="D75"/>
    </row>
    <row r="76" spans="1:4" ht="15" customHeight="1" x14ac:dyDescent="0.45">
      <c r="A76" s="82"/>
      <c r="B76"/>
      <c r="C76" s="77"/>
      <c r="D76"/>
    </row>
    <row r="77" spans="1:4" ht="15" customHeight="1" x14ac:dyDescent="0.45">
      <c r="A77" s="82"/>
      <c r="B77"/>
      <c r="C77" s="77"/>
      <c r="D77"/>
    </row>
    <row r="78" spans="1:4" ht="15" customHeight="1" x14ac:dyDescent="0.45">
      <c r="A78" s="82"/>
      <c r="B78"/>
      <c r="C78" s="77"/>
      <c r="D78"/>
    </row>
    <row r="79" spans="1:4" ht="15" customHeight="1" x14ac:dyDescent="0.45">
      <c r="A79" s="82"/>
      <c r="B79"/>
      <c r="C79" s="77"/>
      <c r="D79"/>
    </row>
    <row r="80" spans="1:4" ht="15" customHeight="1" x14ac:dyDescent="0.45">
      <c r="A80" s="82"/>
      <c r="B80"/>
      <c r="C80" s="77"/>
      <c r="D80"/>
    </row>
    <row r="81" spans="1:4" ht="15" customHeight="1" x14ac:dyDescent="0.45">
      <c r="A81" s="82"/>
      <c r="B81"/>
      <c r="C81" s="77"/>
      <c r="D81"/>
    </row>
    <row r="82" spans="1:4" ht="15" customHeight="1" x14ac:dyDescent="0.45">
      <c r="A82" s="82"/>
      <c r="B82"/>
      <c r="C82" s="77"/>
      <c r="D82"/>
    </row>
    <row r="83" spans="1:4" ht="15" customHeight="1" x14ac:dyDescent="0.45">
      <c r="A83" s="82"/>
      <c r="B83"/>
      <c r="C83" s="77"/>
      <c r="D83"/>
    </row>
    <row r="84" spans="1:4" ht="15" customHeight="1" x14ac:dyDescent="0.45">
      <c r="A84" s="82"/>
      <c r="B84"/>
      <c r="C84" s="77"/>
      <c r="D84"/>
    </row>
    <row r="85" spans="1:4" ht="15" customHeight="1" x14ac:dyDescent="0.45">
      <c r="A85" s="82"/>
      <c r="B85"/>
      <c r="C85" s="77"/>
      <c r="D85"/>
    </row>
    <row r="86" spans="1:4" ht="15" customHeight="1" x14ac:dyDescent="0.45">
      <c r="A86" s="82"/>
      <c r="B86"/>
      <c r="C86" s="77"/>
      <c r="D86"/>
    </row>
    <row r="87" spans="1:4" ht="15" customHeight="1" x14ac:dyDescent="0.45">
      <c r="A87" s="82"/>
      <c r="B87"/>
      <c r="C87" s="77"/>
      <c r="D87"/>
    </row>
    <row r="88" spans="1:4" ht="15" customHeight="1" x14ac:dyDescent="0.45">
      <c r="A88" s="82"/>
      <c r="B88"/>
      <c r="C88" s="77"/>
      <c r="D88"/>
    </row>
    <row r="89" spans="1:4" ht="15" customHeight="1" x14ac:dyDescent="0.45">
      <c r="A89" s="82"/>
      <c r="B89"/>
      <c r="C89" s="77"/>
      <c r="D89"/>
    </row>
    <row r="90" spans="1:4" ht="15" customHeight="1" x14ac:dyDescent="0.45">
      <c r="A90" s="82"/>
      <c r="B90"/>
      <c r="C90" s="77"/>
      <c r="D90"/>
    </row>
    <row r="91" spans="1:4" ht="15" customHeight="1" x14ac:dyDescent="0.45">
      <c r="A91" s="82"/>
      <c r="B91"/>
      <c r="C91" s="77"/>
      <c r="D91"/>
    </row>
    <row r="92" spans="1:4" ht="15" customHeight="1" x14ac:dyDescent="0.45">
      <c r="A92" s="82"/>
      <c r="B92"/>
      <c r="C92" s="77"/>
      <c r="D92"/>
    </row>
    <row r="93" spans="1:4" ht="15" customHeight="1" x14ac:dyDescent="0.45">
      <c r="A93" s="82"/>
      <c r="B93"/>
      <c r="C93" s="77"/>
      <c r="D93"/>
    </row>
    <row r="94" spans="1:4" ht="15" customHeight="1" x14ac:dyDescent="0.45">
      <c r="A94" s="82"/>
      <c r="B94"/>
      <c r="C94" s="77"/>
      <c r="D94"/>
    </row>
    <row r="95" spans="1:4" ht="15" customHeight="1" x14ac:dyDescent="0.45">
      <c r="A95" s="82"/>
      <c r="B95"/>
      <c r="C95" s="77"/>
      <c r="D95"/>
    </row>
    <row r="96" spans="1:4" ht="15" customHeight="1" x14ac:dyDescent="0.45">
      <c r="A96" s="82"/>
      <c r="B96"/>
      <c r="C96" s="77"/>
      <c r="D96"/>
    </row>
    <row r="97" spans="1:4" ht="15" customHeight="1" x14ac:dyDescent="0.45">
      <c r="A97" s="82"/>
      <c r="B97"/>
      <c r="C97" s="77"/>
      <c r="D97"/>
    </row>
    <row r="98" spans="1:4" ht="15" customHeight="1" x14ac:dyDescent="0.45">
      <c r="A98" s="82"/>
      <c r="B98"/>
      <c r="C98" s="77"/>
      <c r="D98"/>
    </row>
    <row r="99" spans="1:4" ht="15" customHeight="1" x14ac:dyDescent="0.45">
      <c r="A99" s="82"/>
      <c r="B99"/>
      <c r="C99" s="77"/>
      <c r="D99"/>
    </row>
    <row r="100" spans="1:4" ht="15" customHeight="1" x14ac:dyDescent="0.45">
      <c r="A100" s="82"/>
      <c r="B100"/>
      <c r="C100" s="77"/>
      <c r="D100"/>
    </row>
    <row r="101" spans="1:4" ht="15" customHeight="1" x14ac:dyDescent="0.45">
      <c r="A101" s="82"/>
      <c r="B101"/>
      <c r="C101" s="77"/>
      <c r="D101"/>
    </row>
    <row r="102" spans="1:4" ht="15" customHeight="1" x14ac:dyDescent="0.45">
      <c r="A102" s="82"/>
      <c r="B102"/>
      <c r="C102" s="77"/>
      <c r="D102"/>
    </row>
    <row r="103" spans="1:4" ht="15" customHeight="1" x14ac:dyDescent="0.45">
      <c r="A103" s="82"/>
      <c r="B103"/>
      <c r="C103" s="77"/>
      <c r="D103"/>
    </row>
    <row r="104" spans="1:4" ht="15" customHeight="1" x14ac:dyDescent="0.45">
      <c r="A104" s="82"/>
      <c r="B104"/>
      <c r="C104" s="77"/>
      <c r="D104"/>
    </row>
    <row r="105" spans="1:4" ht="15" customHeight="1" x14ac:dyDescent="0.45">
      <c r="A105" s="82"/>
      <c r="B105"/>
      <c r="C105" s="77"/>
      <c r="D105"/>
    </row>
    <row r="106" spans="1:4" ht="15" customHeight="1" x14ac:dyDescent="0.45">
      <c r="A106" s="82"/>
      <c r="B106"/>
      <c r="C106" s="77"/>
      <c r="D106"/>
    </row>
    <row r="107" spans="1:4" ht="15" customHeight="1" x14ac:dyDescent="0.45">
      <c r="A107" s="82"/>
      <c r="B107"/>
      <c r="C107" s="77"/>
      <c r="D107"/>
    </row>
    <row r="108" spans="1:4" ht="15" customHeight="1" x14ac:dyDescent="0.45">
      <c r="A108" s="82"/>
      <c r="B108"/>
      <c r="C108" s="77"/>
      <c r="D108"/>
    </row>
    <row r="109" spans="1:4" ht="15" customHeight="1" x14ac:dyDescent="0.45">
      <c r="A109" s="82"/>
      <c r="B109"/>
      <c r="C109" s="77"/>
      <c r="D109"/>
    </row>
    <row r="110" spans="1:4" ht="15" customHeight="1" x14ac:dyDescent="0.45">
      <c r="A110" s="82"/>
      <c r="B110"/>
      <c r="C110" s="77"/>
      <c r="D110"/>
    </row>
    <row r="111" spans="1:4" ht="15" customHeight="1" x14ac:dyDescent="0.45">
      <c r="A111" s="82"/>
      <c r="B111"/>
      <c r="C111" s="77"/>
      <c r="D111"/>
    </row>
    <row r="112" spans="1:4" ht="15" customHeight="1" x14ac:dyDescent="0.45">
      <c r="A112" s="82"/>
      <c r="B112"/>
      <c r="C112" s="77"/>
      <c r="D112"/>
    </row>
    <row r="113" spans="1:4" ht="15" customHeight="1" x14ac:dyDescent="0.45">
      <c r="A113" s="82"/>
      <c r="B113"/>
      <c r="C113" s="77"/>
      <c r="D113"/>
    </row>
    <row r="114" spans="1:4" ht="15" customHeight="1" x14ac:dyDescent="0.45">
      <c r="A114" s="82"/>
      <c r="B114"/>
      <c r="C114" s="77"/>
      <c r="D114"/>
    </row>
    <row r="115" spans="1:4" ht="15" customHeight="1" x14ac:dyDescent="0.45">
      <c r="A115" s="82"/>
      <c r="B115"/>
      <c r="C115" s="77"/>
      <c r="D115"/>
    </row>
    <row r="116" spans="1:4" ht="15" customHeight="1" x14ac:dyDescent="0.45">
      <c r="A116" s="82"/>
      <c r="B116"/>
      <c r="C116" s="77"/>
      <c r="D116"/>
    </row>
    <row r="117" spans="1:4" ht="15" customHeight="1" x14ac:dyDescent="0.45">
      <c r="A117" s="82"/>
      <c r="B117"/>
      <c r="C117" s="77"/>
      <c r="D117"/>
    </row>
    <row r="118" spans="1:4" ht="15" customHeight="1" x14ac:dyDescent="0.45">
      <c r="A118" s="82"/>
      <c r="B118"/>
      <c r="C118" s="77"/>
      <c r="D118"/>
    </row>
    <row r="119" spans="1:4" ht="15" customHeight="1" x14ac:dyDescent="0.45">
      <c r="A119" s="82"/>
      <c r="B119"/>
      <c r="C119" s="77"/>
      <c r="D119"/>
    </row>
    <row r="120" spans="1:4" ht="15" customHeight="1" x14ac:dyDescent="0.45">
      <c r="A120" s="82"/>
      <c r="B120"/>
      <c r="C120" s="77"/>
      <c r="D120"/>
    </row>
    <row r="121" spans="1:4" ht="15" customHeight="1" x14ac:dyDescent="0.45">
      <c r="A121" s="82"/>
      <c r="B121"/>
      <c r="C121" s="77"/>
      <c r="D121"/>
    </row>
    <row r="122" spans="1:4" ht="15" customHeight="1" x14ac:dyDescent="0.45">
      <c r="A122" s="82"/>
      <c r="B122"/>
      <c r="C122" s="77"/>
      <c r="D122"/>
    </row>
    <row r="123" spans="1:4" ht="15" customHeight="1" x14ac:dyDescent="0.45">
      <c r="A123" s="82"/>
      <c r="B123"/>
      <c r="C123" s="77"/>
      <c r="D123"/>
    </row>
    <row r="124" spans="1:4" ht="15" customHeight="1" x14ac:dyDescent="0.45">
      <c r="A124" s="82"/>
      <c r="B124"/>
      <c r="C124" s="77"/>
      <c r="D124"/>
    </row>
    <row r="125" spans="1:4" ht="15" customHeight="1" x14ac:dyDescent="0.45">
      <c r="A125" s="82"/>
      <c r="B125"/>
      <c r="C125" s="77"/>
      <c r="D125"/>
    </row>
    <row r="126" spans="1:4" ht="15" customHeight="1" x14ac:dyDescent="0.45">
      <c r="A126" s="82"/>
      <c r="B126"/>
      <c r="C126" s="77"/>
      <c r="D126"/>
    </row>
    <row r="127" spans="1:4" ht="15" customHeight="1" x14ac:dyDescent="0.45">
      <c r="A127" s="82"/>
      <c r="B127"/>
      <c r="C127" s="77"/>
      <c r="D127"/>
    </row>
    <row r="128" spans="1:4" ht="15" customHeight="1" x14ac:dyDescent="0.45">
      <c r="A128" s="82"/>
      <c r="B128"/>
      <c r="C128" s="77"/>
      <c r="D128"/>
    </row>
    <row r="129" spans="1:4" ht="15" customHeight="1" x14ac:dyDescent="0.45">
      <c r="A129" s="82"/>
      <c r="B129"/>
      <c r="C129" s="77"/>
      <c r="D129"/>
    </row>
    <row r="130" spans="1:4" ht="15" customHeight="1" x14ac:dyDescent="0.45">
      <c r="A130" s="82"/>
      <c r="B130"/>
      <c r="C130" s="77"/>
      <c r="D130"/>
    </row>
    <row r="131" spans="1:4" ht="15" customHeight="1" x14ac:dyDescent="0.45">
      <c r="A131" s="82"/>
      <c r="B131"/>
      <c r="C131" s="77"/>
      <c r="D131"/>
    </row>
    <row r="132" spans="1:4" ht="15" customHeight="1" x14ac:dyDescent="0.45">
      <c r="A132" s="82"/>
      <c r="B132"/>
      <c r="C132" s="77"/>
      <c r="D132"/>
    </row>
    <row r="133" spans="1:4" ht="15" customHeight="1" x14ac:dyDescent="0.45">
      <c r="A133" s="82"/>
      <c r="B133"/>
      <c r="C133" s="77"/>
      <c r="D133"/>
    </row>
    <row r="134" spans="1:4" ht="15" customHeight="1" x14ac:dyDescent="0.45">
      <c r="A134" s="82"/>
      <c r="B134"/>
      <c r="C134" s="77"/>
      <c r="D134"/>
    </row>
    <row r="135" spans="1:4" ht="15" customHeight="1" x14ac:dyDescent="0.45">
      <c r="A135" s="82"/>
      <c r="B135"/>
      <c r="C135" s="77"/>
      <c r="D135"/>
    </row>
    <row r="136" spans="1:4" ht="15" customHeight="1" x14ac:dyDescent="0.45">
      <c r="A136" s="82"/>
      <c r="B136"/>
      <c r="C136" s="77"/>
      <c r="D136"/>
    </row>
    <row r="137" spans="1:4" ht="15" customHeight="1" x14ac:dyDescent="0.45">
      <c r="A137" s="82"/>
      <c r="B137"/>
      <c r="C137" s="77"/>
      <c r="D137"/>
    </row>
    <row r="138" spans="1:4" ht="15" customHeight="1" x14ac:dyDescent="0.45">
      <c r="A138" s="82"/>
      <c r="B138"/>
      <c r="C138" s="77"/>
      <c r="D138"/>
    </row>
    <row r="139" spans="1:4" ht="15" customHeight="1" x14ac:dyDescent="0.45">
      <c r="A139" s="82"/>
      <c r="B139"/>
      <c r="C139" s="77"/>
      <c r="D139"/>
    </row>
    <row r="140" spans="1:4" ht="15" customHeight="1" x14ac:dyDescent="0.45">
      <c r="A140" s="82"/>
      <c r="B140"/>
      <c r="C140" s="77"/>
      <c r="D140"/>
    </row>
    <row r="141" spans="1:4" ht="15" customHeight="1" x14ac:dyDescent="0.45">
      <c r="A141" s="82"/>
      <c r="B141"/>
      <c r="C141" s="77"/>
      <c r="D141"/>
    </row>
    <row r="142" spans="1:4" ht="15" customHeight="1" x14ac:dyDescent="0.45">
      <c r="A142" s="82"/>
      <c r="B142"/>
      <c r="C142" s="77"/>
      <c r="D142"/>
    </row>
    <row r="143" spans="1:4" ht="15" customHeight="1" x14ac:dyDescent="0.45">
      <c r="A143" s="82"/>
      <c r="B143"/>
      <c r="C143" s="77"/>
      <c r="D143"/>
    </row>
    <row r="144" spans="1:4" ht="15" customHeight="1" x14ac:dyDescent="0.45">
      <c r="A144" s="82"/>
      <c r="B144"/>
      <c r="C144" s="77"/>
      <c r="D144"/>
    </row>
    <row r="145" spans="1:4" ht="15" customHeight="1" x14ac:dyDescent="0.45">
      <c r="A145" s="82"/>
      <c r="B145"/>
      <c r="C145" s="77"/>
      <c r="D145"/>
    </row>
    <row r="146" spans="1:4" ht="15" customHeight="1" x14ac:dyDescent="0.45">
      <c r="A146" s="82"/>
      <c r="B146"/>
      <c r="C146" s="77"/>
      <c r="D146"/>
    </row>
    <row r="147" spans="1:4" ht="15" customHeight="1" x14ac:dyDescent="0.45">
      <c r="A147" s="82"/>
      <c r="B147"/>
      <c r="C147" s="77"/>
      <c r="D147"/>
    </row>
    <row r="148" spans="1:4" ht="15" customHeight="1" x14ac:dyDescent="0.45">
      <c r="A148" s="82"/>
      <c r="B148"/>
      <c r="C148" s="77"/>
      <c r="D148"/>
    </row>
    <row r="149" spans="1:4" ht="15" customHeight="1" x14ac:dyDescent="0.45">
      <c r="A149" s="82"/>
      <c r="B149"/>
      <c r="C149" s="77"/>
      <c r="D149"/>
    </row>
    <row r="150" spans="1:4" ht="15" customHeight="1" x14ac:dyDescent="0.45">
      <c r="A150" s="82"/>
      <c r="B150"/>
      <c r="C150" s="77"/>
      <c r="D150"/>
    </row>
    <row r="151" spans="1:4" ht="15" customHeight="1" x14ac:dyDescent="0.45">
      <c r="A151" s="82"/>
      <c r="B151"/>
      <c r="C151" s="77"/>
      <c r="D151"/>
    </row>
    <row r="152" spans="1:4" ht="15" customHeight="1" x14ac:dyDescent="0.45">
      <c r="A152" s="82"/>
      <c r="B152"/>
      <c r="C152" s="77"/>
      <c r="D152"/>
    </row>
    <row r="153" spans="1:4" ht="15" customHeight="1" x14ac:dyDescent="0.45">
      <c r="A153" s="82"/>
      <c r="B153"/>
      <c r="C153" s="77"/>
      <c r="D153"/>
    </row>
    <row r="154" spans="1:4" ht="15" customHeight="1" x14ac:dyDescent="0.45">
      <c r="A154" s="82"/>
      <c r="B154"/>
      <c r="C154" s="77"/>
      <c r="D154"/>
    </row>
    <row r="155" spans="1:4" ht="15" customHeight="1" x14ac:dyDescent="0.45">
      <c r="A155" s="82"/>
      <c r="B155"/>
      <c r="C155" s="77"/>
      <c r="D155"/>
    </row>
    <row r="156" spans="1:4" ht="15" customHeight="1" x14ac:dyDescent="0.45">
      <c r="A156" s="82"/>
      <c r="B156"/>
      <c r="C156" s="77"/>
      <c r="D156"/>
    </row>
    <row r="157" spans="1:4" ht="15" customHeight="1" x14ac:dyDescent="0.45">
      <c r="A157" s="82"/>
      <c r="B157"/>
      <c r="C157" s="77"/>
      <c r="D157"/>
    </row>
    <row r="158" spans="1:4" ht="15" customHeight="1" x14ac:dyDescent="0.45">
      <c r="A158" s="82"/>
      <c r="B158"/>
      <c r="C158" s="77"/>
      <c r="D158"/>
    </row>
    <row r="159" spans="1:4" ht="15" customHeight="1" x14ac:dyDescent="0.45">
      <c r="A159" s="82"/>
      <c r="B159"/>
      <c r="C159" s="77"/>
      <c r="D159"/>
    </row>
    <row r="160" spans="1:4" ht="15" customHeight="1" x14ac:dyDescent="0.45">
      <c r="A160" s="82"/>
      <c r="B160"/>
      <c r="C160" s="77"/>
      <c r="D160"/>
    </row>
    <row r="161" spans="1:4" ht="15" customHeight="1" x14ac:dyDescent="0.45">
      <c r="A161" s="82"/>
      <c r="B161"/>
      <c r="C161" s="77"/>
      <c r="D161"/>
    </row>
    <row r="162" spans="1:4" ht="15" customHeight="1" x14ac:dyDescent="0.45">
      <c r="A162" s="82"/>
      <c r="B162"/>
      <c r="C162" s="77"/>
      <c r="D162"/>
    </row>
    <row r="163" spans="1:4" ht="15" customHeight="1" x14ac:dyDescent="0.45">
      <c r="A163" s="82"/>
      <c r="B163"/>
      <c r="C163" s="77"/>
      <c r="D163"/>
    </row>
    <row r="164" spans="1:4" ht="15" customHeight="1" x14ac:dyDescent="0.45">
      <c r="A164" s="82"/>
      <c r="B164"/>
      <c r="C164" s="77"/>
      <c r="D164"/>
    </row>
    <row r="165" spans="1:4" ht="15" customHeight="1" x14ac:dyDescent="0.45">
      <c r="A165" s="82"/>
      <c r="B165"/>
      <c r="C165" s="77"/>
      <c r="D165"/>
    </row>
    <row r="166" spans="1:4" ht="15" customHeight="1" x14ac:dyDescent="0.45">
      <c r="A166" s="82"/>
      <c r="B166"/>
      <c r="C166" s="77"/>
      <c r="D166"/>
    </row>
    <row r="167" spans="1:4" ht="15" customHeight="1" x14ac:dyDescent="0.45">
      <c r="A167" s="82"/>
      <c r="B167"/>
      <c r="C167"/>
      <c r="D167"/>
    </row>
    <row r="168" spans="1:4" ht="15" customHeight="1" x14ac:dyDescent="0.45">
      <c r="A168" s="82"/>
      <c r="B168"/>
      <c r="C168"/>
      <c r="D168"/>
    </row>
    <row r="169" spans="1:4" ht="15" customHeight="1" x14ac:dyDescent="0.45">
      <c r="A169" s="82"/>
      <c r="B169"/>
      <c r="C169"/>
      <c r="D169"/>
    </row>
    <row r="170" spans="1:4" ht="15" customHeight="1" x14ac:dyDescent="0.45">
      <c r="A170" s="82"/>
      <c r="B170"/>
      <c r="C170"/>
      <c r="D170"/>
    </row>
    <row r="171" spans="1:4" ht="15" customHeight="1" x14ac:dyDescent="0.45">
      <c r="A171" s="82"/>
      <c r="B171"/>
      <c r="C171"/>
      <c r="D171"/>
    </row>
    <row r="172" spans="1:4" ht="15" customHeight="1" x14ac:dyDescent="0.45">
      <c r="A172" s="82"/>
      <c r="B172"/>
      <c r="C172"/>
      <c r="D172"/>
    </row>
    <row r="173" spans="1:4" ht="15" customHeight="1" x14ac:dyDescent="0.45">
      <c r="A173" s="82"/>
      <c r="B173"/>
      <c r="C173"/>
      <c r="D173"/>
    </row>
    <row r="174" spans="1:4" ht="15" customHeight="1" x14ac:dyDescent="0.45">
      <c r="A174" s="82"/>
      <c r="B174"/>
      <c r="C174"/>
      <c r="D174"/>
    </row>
    <row r="175" spans="1:4" ht="15" customHeight="1" x14ac:dyDescent="0.45">
      <c r="A175" s="82"/>
      <c r="B175"/>
      <c r="C175"/>
      <c r="D175"/>
    </row>
    <row r="176" spans="1:4" ht="15" customHeight="1" x14ac:dyDescent="0.45">
      <c r="A176" s="82"/>
      <c r="B176"/>
      <c r="C176"/>
      <c r="D176"/>
    </row>
    <row r="177" spans="1:4" ht="15" customHeight="1" x14ac:dyDescent="0.45">
      <c r="A177" s="82"/>
      <c r="B177"/>
      <c r="C177"/>
      <c r="D177"/>
    </row>
    <row r="178" spans="1:4" ht="15" customHeight="1" x14ac:dyDescent="0.45">
      <c r="A178" s="82"/>
    </row>
    <row r="179" spans="1:4" ht="15" customHeight="1" x14ac:dyDescent="0.45">
      <c r="A179" s="82"/>
    </row>
    <row r="180" spans="1:4" ht="15" customHeight="1" x14ac:dyDescent="0.45">
      <c r="A180" s="82"/>
    </row>
    <row r="181" spans="1:4" ht="15" customHeight="1" x14ac:dyDescent="0.45">
      <c r="A181" s="82"/>
    </row>
    <row r="182" spans="1:4" ht="15" customHeight="1" x14ac:dyDescent="0.45">
      <c r="A182" s="82"/>
    </row>
    <row r="183" spans="1:4" ht="15" customHeight="1" x14ac:dyDescent="0.45">
      <c r="A183" s="82"/>
    </row>
    <row r="184" spans="1:4" ht="15" customHeight="1" x14ac:dyDescent="0.45">
      <c r="A184" s="82"/>
      <c r="B184"/>
      <c r="C184"/>
      <c r="D184"/>
    </row>
    <row r="185" spans="1:4" ht="15" customHeight="1" x14ac:dyDescent="0.45">
      <c r="A185" s="82"/>
      <c r="B185"/>
      <c r="C185"/>
      <c r="D185"/>
    </row>
    <row r="186" spans="1:4" ht="15" customHeight="1" x14ac:dyDescent="0.45">
      <c r="A186" s="82"/>
      <c r="B186"/>
      <c r="C186"/>
      <c r="D186"/>
    </row>
    <row r="187" spans="1:4" ht="15" customHeight="1" x14ac:dyDescent="0.45">
      <c r="A187" s="82"/>
      <c r="B187"/>
      <c r="C187"/>
      <c r="D187"/>
    </row>
    <row r="188" spans="1:4" ht="15" customHeight="1" x14ac:dyDescent="0.45">
      <c r="A188" s="82"/>
      <c r="B188"/>
      <c r="C188"/>
      <c r="D188"/>
    </row>
    <row r="189" spans="1:4" ht="15" customHeight="1" x14ac:dyDescent="0.45">
      <c r="A189" s="82"/>
      <c r="B189"/>
      <c r="C189"/>
      <c r="D189"/>
    </row>
    <row r="190" spans="1:4" ht="15" customHeight="1" x14ac:dyDescent="0.45">
      <c r="A190" s="82"/>
      <c r="B190"/>
      <c r="C190"/>
      <c r="D190"/>
    </row>
    <row r="191" spans="1:4" ht="15" customHeight="1" x14ac:dyDescent="0.45">
      <c r="A191" s="82"/>
      <c r="B191"/>
      <c r="C191"/>
      <c r="D191"/>
    </row>
    <row r="192" spans="1:4" ht="15" customHeight="1" x14ac:dyDescent="0.45">
      <c r="A192" s="82"/>
      <c r="B192"/>
      <c r="C192"/>
      <c r="D192"/>
    </row>
    <row r="193" spans="1:4" ht="15" customHeight="1" x14ac:dyDescent="0.45">
      <c r="A193" s="82"/>
      <c r="B193"/>
      <c r="C193"/>
      <c r="D193"/>
    </row>
    <row r="194" spans="1:4" ht="15" customHeight="1" x14ac:dyDescent="0.45">
      <c r="A194" s="82"/>
      <c r="B194"/>
      <c r="C194"/>
      <c r="D194"/>
    </row>
    <row r="195" spans="1:4" ht="15" customHeight="1" x14ac:dyDescent="0.45">
      <c r="A195" s="82"/>
      <c r="B195"/>
      <c r="C195"/>
      <c r="D195"/>
    </row>
    <row r="196" spans="1:4" ht="15" customHeight="1" x14ac:dyDescent="0.45">
      <c r="A196" s="82"/>
      <c r="B196"/>
      <c r="C196"/>
      <c r="D196"/>
    </row>
    <row r="197" spans="1:4" ht="15" customHeight="1" x14ac:dyDescent="0.45">
      <c r="A197" s="82"/>
      <c r="B197"/>
      <c r="C197"/>
      <c r="D197"/>
    </row>
    <row r="198" spans="1:4" ht="15" customHeight="1" x14ac:dyDescent="0.45">
      <c r="A198" s="82"/>
      <c r="B198"/>
      <c r="C198"/>
      <c r="D198"/>
    </row>
    <row r="199" spans="1:4" ht="15" customHeight="1" x14ac:dyDescent="0.45">
      <c r="A199" s="82"/>
      <c r="B199"/>
      <c r="C199"/>
      <c r="D199"/>
    </row>
    <row r="200" spans="1:4" ht="15" customHeight="1" x14ac:dyDescent="0.45">
      <c r="A200" s="82"/>
      <c r="B200"/>
      <c r="C200"/>
      <c r="D200"/>
    </row>
    <row r="201" spans="1:4" ht="15" customHeight="1" x14ac:dyDescent="0.45">
      <c r="A201" s="82"/>
      <c r="B201"/>
      <c r="C201"/>
      <c r="D201"/>
    </row>
    <row r="202" spans="1:4" ht="15" customHeight="1" x14ac:dyDescent="0.45">
      <c r="A202" s="82"/>
      <c r="B202"/>
      <c r="C202"/>
      <c r="D202"/>
    </row>
    <row r="203" spans="1:4" ht="15" customHeight="1" x14ac:dyDescent="0.45">
      <c r="A203" s="82"/>
      <c r="B203"/>
      <c r="C203"/>
      <c r="D203"/>
    </row>
    <row r="204" spans="1:4" ht="15" customHeight="1" x14ac:dyDescent="0.45">
      <c r="A204" s="82"/>
      <c r="B204"/>
      <c r="C204"/>
      <c r="D204"/>
    </row>
    <row r="205" spans="1:4" ht="15" customHeight="1" x14ac:dyDescent="0.45">
      <c r="A205" s="82"/>
      <c r="B205"/>
      <c r="C205"/>
      <c r="D205"/>
    </row>
    <row r="206" spans="1:4" ht="15" customHeight="1" x14ac:dyDescent="0.45">
      <c r="A206" s="82"/>
      <c r="B206"/>
      <c r="C206"/>
      <c r="D206"/>
    </row>
    <row r="207" spans="1:4" ht="15" customHeight="1" x14ac:dyDescent="0.45">
      <c r="A207" s="82"/>
      <c r="B207"/>
      <c r="C207"/>
      <c r="D207"/>
    </row>
    <row r="208" spans="1:4" ht="15" customHeight="1" x14ac:dyDescent="0.45">
      <c r="A208" s="82"/>
      <c r="B208"/>
      <c r="C208"/>
      <c r="D208"/>
    </row>
    <row r="209" spans="1:4" ht="15" customHeight="1" x14ac:dyDescent="0.45">
      <c r="A209" s="82"/>
      <c r="B209"/>
      <c r="C209"/>
      <c r="D209"/>
    </row>
    <row r="210" spans="1:4" ht="15" customHeight="1" x14ac:dyDescent="0.45">
      <c r="A210" s="82"/>
      <c r="B210"/>
      <c r="C210"/>
      <c r="D210"/>
    </row>
    <row r="211" spans="1:4" ht="15" customHeight="1" x14ac:dyDescent="0.45">
      <c r="A211" s="82"/>
      <c r="B211"/>
      <c r="C211"/>
      <c r="D211"/>
    </row>
    <row r="212" spans="1:4" ht="15" customHeight="1" x14ac:dyDescent="0.45">
      <c r="A212" s="82"/>
      <c r="B212"/>
      <c r="C212"/>
      <c r="D212"/>
    </row>
    <row r="213" spans="1:4" ht="15" customHeight="1" x14ac:dyDescent="0.45">
      <c r="A213" s="82"/>
      <c r="B213"/>
      <c r="C213"/>
      <c r="D213"/>
    </row>
    <row r="214" spans="1:4" ht="15" customHeight="1" x14ac:dyDescent="0.45">
      <c r="A214" s="82"/>
      <c r="B214"/>
      <c r="C214"/>
      <c r="D214"/>
    </row>
    <row r="215" spans="1:4" ht="15" customHeight="1" x14ac:dyDescent="0.45">
      <c r="A215" s="82"/>
      <c r="B215"/>
      <c r="C215"/>
      <c r="D215"/>
    </row>
    <row r="216" spans="1:4" ht="15" customHeight="1" x14ac:dyDescent="0.45">
      <c r="A216" s="82"/>
      <c r="B216"/>
      <c r="C216"/>
      <c r="D216"/>
    </row>
    <row r="217" spans="1:4" ht="15" customHeight="1" x14ac:dyDescent="0.45">
      <c r="A217" s="82"/>
      <c r="B217"/>
      <c r="C217"/>
      <c r="D217"/>
    </row>
    <row r="218" spans="1:4" ht="15" customHeight="1" x14ac:dyDescent="0.45">
      <c r="A218" s="82"/>
      <c r="B218"/>
      <c r="C218"/>
      <c r="D218"/>
    </row>
    <row r="219" spans="1:4" ht="15" customHeight="1" x14ac:dyDescent="0.45">
      <c r="A219" s="82"/>
      <c r="B219"/>
      <c r="C219"/>
      <c r="D219"/>
    </row>
    <row r="220" spans="1:4" ht="15" customHeight="1" x14ac:dyDescent="0.45">
      <c r="A220" s="82"/>
      <c r="B220"/>
      <c r="C220"/>
      <c r="D220"/>
    </row>
    <row r="221" spans="1:4" ht="15" customHeight="1" x14ac:dyDescent="0.45">
      <c r="A221" s="82"/>
      <c r="B221"/>
      <c r="C221"/>
      <c r="D221"/>
    </row>
    <row r="222" spans="1:4" ht="15" customHeight="1" x14ac:dyDescent="0.45">
      <c r="A222" s="82"/>
      <c r="B222"/>
      <c r="C222"/>
      <c r="D222"/>
    </row>
    <row r="223" spans="1:4" ht="15" customHeight="1" x14ac:dyDescent="0.45">
      <c r="A223" s="82"/>
      <c r="B223"/>
      <c r="C223"/>
      <c r="D223"/>
    </row>
    <row r="224" spans="1:4" ht="15" customHeight="1" x14ac:dyDescent="0.45">
      <c r="A224" s="82"/>
      <c r="B224"/>
      <c r="C224"/>
      <c r="D224"/>
    </row>
    <row r="225" spans="1:4" ht="15" customHeight="1" x14ac:dyDescent="0.45">
      <c r="A225" s="82"/>
      <c r="B225"/>
      <c r="C225"/>
      <c r="D225"/>
    </row>
    <row r="226" spans="1:4" ht="15" customHeight="1" x14ac:dyDescent="0.45">
      <c r="A226" s="82"/>
      <c r="B226"/>
      <c r="C226"/>
      <c r="D226"/>
    </row>
    <row r="227" spans="1:4" ht="15" customHeight="1" x14ac:dyDescent="0.45">
      <c r="A227" s="82"/>
      <c r="B227"/>
      <c r="C227"/>
      <c r="D227"/>
    </row>
    <row r="228" spans="1:4" ht="15" customHeight="1" x14ac:dyDescent="0.45">
      <c r="A228" s="82"/>
      <c r="B228"/>
      <c r="C228"/>
      <c r="D228"/>
    </row>
    <row r="229" spans="1:4" ht="15" customHeight="1" x14ac:dyDescent="0.45">
      <c r="A229" s="82"/>
      <c r="B229"/>
      <c r="C229"/>
      <c r="D229"/>
    </row>
    <row r="230" spans="1:4" ht="15" customHeight="1" x14ac:dyDescent="0.45">
      <c r="A230" s="82"/>
      <c r="B230"/>
      <c r="C230"/>
      <c r="D230"/>
    </row>
    <row r="231" spans="1:4" ht="15" customHeight="1" x14ac:dyDescent="0.45">
      <c r="A231" s="82"/>
      <c r="B231"/>
      <c r="C231"/>
      <c r="D231"/>
    </row>
    <row r="232" spans="1:4" ht="15" customHeight="1" x14ac:dyDescent="0.45">
      <c r="A232" s="82"/>
      <c r="B232"/>
      <c r="C232"/>
      <c r="D232"/>
    </row>
    <row r="233" spans="1:4" ht="15" customHeight="1" x14ac:dyDescent="0.45">
      <c r="A233" s="82"/>
      <c r="B233"/>
      <c r="C233"/>
      <c r="D233"/>
    </row>
    <row r="234" spans="1:4" ht="15" customHeight="1" x14ac:dyDescent="0.45">
      <c r="A234" s="82"/>
      <c r="B234"/>
      <c r="C234"/>
      <c r="D234"/>
    </row>
    <row r="235" spans="1:4" ht="15" customHeight="1" x14ac:dyDescent="0.45">
      <c r="A235" s="82"/>
      <c r="B235"/>
      <c r="C235"/>
      <c r="D235"/>
    </row>
    <row r="236" spans="1:4" ht="15" customHeight="1" x14ac:dyDescent="0.45">
      <c r="A236" s="82"/>
      <c r="B236"/>
      <c r="C236"/>
      <c r="D236"/>
    </row>
    <row r="237" spans="1:4" ht="15" customHeight="1" x14ac:dyDescent="0.45">
      <c r="A237" s="82"/>
      <c r="B237"/>
      <c r="C237"/>
      <c r="D237"/>
    </row>
    <row r="238" spans="1:4" ht="15" customHeight="1" x14ac:dyDescent="0.45">
      <c r="A238" s="82"/>
      <c r="B238"/>
      <c r="C238"/>
      <c r="D238"/>
    </row>
    <row r="239" spans="1:4" ht="15" customHeight="1" x14ac:dyDescent="0.45">
      <c r="A239" s="82"/>
      <c r="B239"/>
      <c r="C239"/>
      <c r="D239"/>
    </row>
    <row r="240" spans="1:4" ht="15" customHeight="1" x14ac:dyDescent="0.45">
      <c r="A240" s="82"/>
      <c r="B240"/>
      <c r="C240"/>
      <c r="D240"/>
    </row>
    <row r="241" spans="1:4" ht="15" customHeight="1" x14ac:dyDescent="0.45">
      <c r="A241" s="82"/>
      <c r="B241"/>
      <c r="C241"/>
      <c r="D241"/>
    </row>
    <row r="242" spans="1:4" ht="15" customHeight="1" x14ac:dyDescent="0.45">
      <c r="A242" s="82"/>
      <c r="B242"/>
      <c r="C242"/>
      <c r="D242"/>
    </row>
    <row r="243" spans="1:4" ht="15" customHeight="1" x14ac:dyDescent="0.45">
      <c r="A243" s="82"/>
      <c r="B243"/>
      <c r="C243"/>
      <c r="D243"/>
    </row>
    <row r="244" spans="1:4" ht="15" customHeight="1" x14ac:dyDescent="0.45">
      <c r="A244" s="82"/>
      <c r="B244"/>
      <c r="C244"/>
      <c r="D244"/>
    </row>
    <row r="245" spans="1:4" ht="15" customHeight="1" x14ac:dyDescent="0.45">
      <c r="A245" s="82"/>
      <c r="B245"/>
      <c r="C245"/>
      <c r="D245"/>
    </row>
    <row r="246" spans="1:4" ht="15" customHeight="1" x14ac:dyDescent="0.45">
      <c r="A246" s="82"/>
      <c r="B246"/>
      <c r="C246"/>
      <c r="D246"/>
    </row>
    <row r="247" spans="1:4" ht="15" customHeight="1" x14ac:dyDescent="0.45">
      <c r="A247" s="82"/>
      <c r="B247"/>
      <c r="C247"/>
      <c r="D247"/>
    </row>
    <row r="248" spans="1:4" ht="15" customHeight="1" x14ac:dyDescent="0.45">
      <c r="A248" s="82"/>
      <c r="B248"/>
      <c r="C248"/>
      <c r="D248"/>
    </row>
    <row r="249" spans="1:4" ht="15" customHeight="1" x14ac:dyDescent="0.45">
      <c r="A249" s="82"/>
      <c r="B249"/>
      <c r="C249"/>
      <c r="D249"/>
    </row>
    <row r="250" spans="1:4" ht="15" customHeight="1" x14ac:dyDescent="0.45">
      <c r="A250" s="82"/>
      <c r="B250"/>
      <c r="C250"/>
      <c r="D250"/>
    </row>
    <row r="251" spans="1:4" ht="15" customHeight="1" x14ac:dyDescent="0.45">
      <c r="A251" s="82"/>
      <c r="B251"/>
      <c r="C251"/>
      <c r="D251"/>
    </row>
    <row r="252" spans="1:4" ht="15" customHeight="1" x14ac:dyDescent="0.45">
      <c r="A252" s="82"/>
      <c r="B252"/>
      <c r="C252"/>
      <c r="D252"/>
    </row>
    <row r="253" spans="1:4" ht="15" customHeight="1" x14ac:dyDescent="0.45">
      <c r="A253" s="82"/>
      <c r="B253"/>
      <c r="C253"/>
      <c r="D253"/>
    </row>
    <row r="254" spans="1:4" ht="15" customHeight="1" x14ac:dyDescent="0.45">
      <c r="A254" s="82"/>
      <c r="B254"/>
      <c r="C254"/>
      <c r="D254"/>
    </row>
    <row r="255" spans="1:4" ht="15" customHeight="1" x14ac:dyDescent="0.45">
      <c r="A255" s="82"/>
      <c r="B255"/>
      <c r="C255"/>
      <c r="D255"/>
    </row>
    <row r="256" spans="1:4" ht="15" customHeight="1" x14ac:dyDescent="0.45">
      <c r="A256" s="82"/>
      <c r="B256"/>
      <c r="C256"/>
      <c r="D256"/>
    </row>
    <row r="257" spans="1:4" ht="15" customHeight="1" x14ac:dyDescent="0.45">
      <c r="A257" s="82"/>
      <c r="B257"/>
      <c r="C257"/>
      <c r="D257"/>
    </row>
    <row r="258" spans="1:4" ht="15" customHeight="1" x14ac:dyDescent="0.45">
      <c r="A258" s="82"/>
      <c r="B258"/>
      <c r="C258"/>
      <c r="D258"/>
    </row>
    <row r="259" spans="1:4" ht="15" customHeight="1" x14ac:dyDescent="0.45">
      <c r="A259" s="82"/>
      <c r="B259"/>
      <c r="C259"/>
      <c r="D259"/>
    </row>
    <row r="260" spans="1:4" ht="15" customHeight="1" x14ac:dyDescent="0.45">
      <c r="A260" s="82"/>
      <c r="B260"/>
      <c r="C260"/>
      <c r="D260"/>
    </row>
    <row r="261" spans="1:4" ht="15" customHeight="1" x14ac:dyDescent="0.45">
      <c r="A261" s="82"/>
      <c r="B261"/>
      <c r="C261"/>
      <c r="D261"/>
    </row>
    <row r="262" spans="1:4" ht="15" customHeight="1" x14ac:dyDescent="0.45">
      <c r="A262" s="82"/>
      <c r="B262"/>
      <c r="C262"/>
      <c r="D262"/>
    </row>
    <row r="263" spans="1:4" ht="15" customHeight="1" x14ac:dyDescent="0.45">
      <c r="A263" s="82"/>
      <c r="B263"/>
      <c r="C263"/>
      <c r="D263"/>
    </row>
    <row r="264" spans="1:4" ht="15" customHeight="1" x14ac:dyDescent="0.45">
      <c r="A264" s="82"/>
      <c r="B264"/>
      <c r="C264"/>
      <c r="D264"/>
    </row>
    <row r="265" spans="1:4" ht="15" customHeight="1" x14ac:dyDescent="0.45">
      <c r="A265" s="82"/>
      <c r="B265"/>
      <c r="C265"/>
      <c r="D265"/>
    </row>
    <row r="266" spans="1:4" ht="15" customHeight="1" x14ac:dyDescent="0.45">
      <c r="A266" s="82"/>
      <c r="B266"/>
      <c r="C266"/>
      <c r="D266"/>
    </row>
    <row r="267" spans="1:4" ht="15" customHeight="1" x14ac:dyDescent="0.45">
      <c r="A267" s="82"/>
      <c r="B267"/>
      <c r="C267"/>
      <c r="D267"/>
    </row>
    <row r="268" spans="1:4" ht="15" customHeight="1" x14ac:dyDescent="0.45">
      <c r="A268" s="82"/>
      <c r="B268"/>
      <c r="C268"/>
      <c r="D268"/>
    </row>
    <row r="269" spans="1:4" ht="15" customHeight="1" x14ac:dyDescent="0.45">
      <c r="A269" s="82"/>
      <c r="B269"/>
      <c r="C269"/>
      <c r="D269"/>
    </row>
    <row r="270" spans="1:4" ht="15" customHeight="1" x14ac:dyDescent="0.45">
      <c r="A270" s="82"/>
      <c r="B270"/>
      <c r="C270"/>
      <c r="D270"/>
    </row>
    <row r="271" spans="1:4" ht="15" customHeight="1" x14ac:dyDescent="0.45">
      <c r="A271" s="82"/>
      <c r="B271"/>
      <c r="C271"/>
      <c r="D271"/>
    </row>
    <row r="272" spans="1:4" ht="15" customHeight="1" x14ac:dyDescent="0.45">
      <c r="A272" s="82"/>
      <c r="B272"/>
      <c r="C272"/>
      <c r="D272"/>
    </row>
    <row r="273" spans="1:4" ht="15" customHeight="1" x14ac:dyDescent="0.45">
      <c r="A273" s="82"/>
      <c r="B273"/>
      <c r="C273"/>
      <c r="D273"/>
    </row>
    <row r="274" spans="1:4" ht="15" customHeight="1" x14ac:dyDescent="0.45">
      <c r="A274" s="82"/>
      <c r="B274"/>
      <c r="C274"/>
      <c r="D274"/>
    </row>
    <row r="275" spans="1:4" ht="15" customHeight="1" x14ac:dyDescent="0.45">
      <c r="A275" s="82"/>
      <c r="B275"/>
      <c r="C275"/>
      <c r="D275"/>
    </row>
    <row r="276" spans="1:4" ht="15" customHeight="1" x14ac:dyDescent="0.45">
      <c r="A276" s="82"/>
      <c r="B276"/>
      <c r="C276"/>
      <c r="D276"/>
    </row>
    <row r="277" spans="1:4" ht="15" customHeight="1" x14ac:dyDescent="0.45">
      <c r="A277" s="82"/>
      <c r="B277"/>
      <c r="C277"/>
      <c r="D277"/>
    </row>
    <row r="278" spans="1:4" ht="15" customHeight="1" x14ac:dyDescent="0.45">
      <c r="A278" s="82"/>
      <c r="B278"/>
      <c r="C278"/>
      <c r="D278"/>
    </row>
    <row r="279" spans="1:4" ht="15" customHeight="1" x14ac:dyDescent="0.45">
      <c r="A279" s="82"/>
      <c r="B279"/>
      <c r="C279"/>
      <c r="D279"/>
    </row>
    <row r="280" spans="1:4" ht="15" customHeight="1" x14ac:dyDescent="0.45">
      <c r="A280" s="82"/>
      <c r="B280"/>
      <c r="C280"/>
      <c r="D280"/>
    </row>
    <row r="281" spans="1:4" ht="15" customHeight="1" x14ac:dyDescent="0.45">
      <c r="A281" s="82"/>
      <c r="B281"/>
      <c r="C281"/>
      <c r="D281"/>
    </row>
    <row r="282" spans="1:4" ht="15" customHeight="1" x14ac:dyDescent="0.45">
      <c r="A282" s="82"/>
      <c r="B282"/>
      <c r="C282"/>
      <c r="D282"/>
    </row>
    <row r="283" spans="1:4" ht="15" customHeight="1" x14ac:dyDescent="0.45">
      <c r="A283" s="82"/>
      <c r="B283"/>
      <c r="C283"/>
      <c r="D283"/>
    </row>
    <row r="284" spans="1:4" ht="15" customHeight="1" x14ac:dyDescent="0.45">
      <c r="A284" s="82"/>
      <c r="B284"/>
      <c r="C284"/>
      <c r="D284"/>
    </row>
    <row r="285" spans="1:4" ht="15" customHeight="1" x14ac:dyDescent="0.45">
      <c r="A285" s="82"/>
      <c r="B285"/>
      <c r="C285"/>
      <c r="D285"/>
    </row>
    <row r="286" spans="1:4" ht="15" customHeight="1" x14ac:dyDescent="0.45">
      <c r="A286" s="82"/>
      <c r="B286"/>
      <c r="C286"/>
      <c r="D286"/>
    </row>
    <row r="287" spans="1:4" ht="15" customHeight="1" x14ac:dyDescent="0.45">
      <c r="A287" s="82"/>
      <c r="B287"/>
      <c r="C287"/>
      <c r="D287"/>
    </row>
    <row r="288" spans="1:4" ht="15" customHeight="1" x14ac:dyDescent="0.45">
      <c r="A288" s="82"/>
      <c r="B288"/>
      <c r="C288"/>
      <c r="D288"/>
    </row>
    <row r="289" spans="1:4" ht="15" customHeight="1" x14ac:dyDescent="0.45">
      <c r="A289" s="82"/>
      <c r="B289"/>
      <c r="C289"/>
      <c r="D289"/>
    </row>
    <row r="290" spans="1:4" ht="15" customHeight="1" x14ac:dyDescent="0.45">
      <c r="A290" s="82"/>
      <c r="B290"/>
      <c r="C290"/>
      <c r="D290"/>
    </row>
    <row r="291" spans="1:4" ht="15" customHeight="1" x14ac:dyDescent="0.45">
      <c r="A291" s="82"/>
      <c r="B291"/>
      <c r="C291"/>
      <c r="D291"/>
    </row>
    <row r="292" spans="1:4" ht="15" customHeight="1" x14ac:dyDescent="0.45">
      <c r="A292" s="82"/>
      <c r="B292"/>
      <c r="C292"/>
      <c r="D292"/>
    </row>
    <row r="293" spans="1:4" ht="15" customHeight="1" x14ac:dyDescent="0.45">
      <c r="A293" s="82"/>
      <c r="B293"/>
      <c r="C293"/>
      <c r="D293"/>
    </row>
    <row r="294" spans="1:4" ht="15" customHeight="1" x14ac:dyDescent="0.45">
      <c r="A294" s="82"/>
      <c r="B294"/>
      <c r="C294"/>
      <c r="D294"/>
    </row>
    <row r="295" spans="1:4" ht="15" customHeight="1" x14ac:dyDescent="0.45">
      <c r="A295" s="82"/>
      <c r="B295"/>
      <c r="C295"/>
      <c r="D295"/>
    </row>
    <row r="296" spans="1:4" ht="15" customHeight="1" x14ac:dyDescent="0.45">
      <c r="A296" s="82"/>
      <c r="B296"/>
      <c r="C296"/>
      <c r="D296"/>
    </row>
    <row r="297" spans="1:4" ht="15" customHeight="1" x14ac:dyDescent="0.45">
      <c r="A297" s="82"/>
      <c r="B297"/>
      <c r="C297"/>
      <c r="D297"/>
    </row>
    <row r="298" spans="1:4" ht="15" customHeight="1" x14ac:dyDescent="0.45">
      <c r="A298" s="82"/>
      <c r="B298"/>
      <c r="C298"/>
      <c r="D298"/>
    </row>
    <row r="299" spans="1:4" ht="15" customHeight="1" x14ac:dyDescent="0.45">
      <c r="A299" s="82"/>
      <c r="B299"/>
      <c r="C299"/>
      <c r="D299"/>
    </row>
    <row r="300" spans="1:4" ht="15" customHeight="1" x14ac:dyDescent="0.45">
      <c r="A300" s="82"/>
      <c r="B300"/>
      <c r="C300"/>
      <c r="D300"/>
    </row>
    <row r="301" spans="1:4" ht="15" customHeight="1" x14ac:dyDescent="0.45">
      <c r="A301" s="82"/>
      <c r="B301"/>
      <c r="C301"/>
      <c r="D301"/>
    </row>
    <row r="302" spans="1:4" ht="15" customHeight="1" x14ac:dyDescent="0.45">
      <c r="A302" s="82"/>
      <c r="B302"/>
      <c r="C302"/>
      <c r="D302"/>
    </row>
    <row r="303" spans="1:4" ht="15" customHeight="1" x14ac:dyDescent="0.45">
      <c r="A303" s="82"/>
      <c r="B303"/>
      <c r="C303"/>
      <c r="D303"/>
    </row>
    <row r="304" spans="1:4" ht="15" customHeight="1" x14ac:dyDescent="0.45">
      <c r="A304" s="82"/>
      <c r="B304"/>
      <c r="C304"/>
      <c r="D304"/>
    </row>
    <row r="305" spans="1:4" ht="15" customHeight="1" x14ac:dyDescent="0.45">
      <c r="A305" s="82"/>
      <c r="B305"/>
      <c r="C305"/>
      <c r="D305"/>
    </row>
    <row r="306" spans="1:4" ht="15" customHeight="1" x14ac:dyDescent="0.45">
      <c r="A306" s="82"/>
      <c r="B306"/>
      <c r="C306"/>
      <c r="D306"/>
    </row>
    <row r="307" spans="1:4" ht="15" customHeight="1" x14ac:dyDescent="0.45">
      <c r="A307" s="82"/>
      <c r="B307"/>
      <c r="C307"/>
      <c r="D307"/>
    </row>
    <row r="308" spans="1:4" ht="15" customHeight="1" x14ac:dyDescent="0.45">
      <c r="A308" s="82"/>
      <c r="B308"/>
      <c r="C308"/>
      <c r="D308"/>
    </row>
    <row r="309" spans="1:4" ht="15" customHeight="1" x14ac:dyDescent="0.45">
      <c r="A309" s="82"/>
      <c r="B309"/>
      <c r="C309"/>
      <c r="D309"/>
    </row>
    <row r="310" spans="1:4" ht="15" customHeight="1" x14ac:dyDescent="0.45">
      <c r="A310" s="82"/>
      <c r="B310"/>
      <c r="C310"/>
      <c r="D310"/>
    </row>
    <row r="311" spans="1:4" ht="15" customHeight="1" x14ac:dyDescent="0.45">
      <c r="A311" s="82"/>
      <c r="B311"/>
      <c r="C311"/>
      <c r="D311"/>
    </row>
    <row r="312" spans="1:4" ht="15" customHeight="1" x14ac:dyDescent="0.45">
      <c r="A312" s="82"/>
      <c r="B312"/>
      <c r="C312"/>
      <c r="D312"/>
    </row>
    <row r="313" spans="1:4" ht="15" customHeight="1" x14ac:dyDescent="0.45">
      <c r="A313" s="82"/>
      <c r="B313"/>
      <c r="C313"/>
      <c r="D313"/>
    </row>
    <row r="314" spans="1:4" ht="15" customHeight="1" x14ac:dyDescent="0.45">
      <c r="A314" s="82"/>
      <c r="B314"/>
      <c r="C314"/>
      <c r="D314"/>
    </row>
    <row r="315" spans="1:4" ht="15" customHeight="1" x14ac:dyDescent="0.45">
      <c r="A315" s="82"/>
      <c r="B315"/>
      <c r="C315"/>
      <c r="D315"/>
    </row>
    <row r="316" spans="1:4" ht="15" customHeight="1" x14ac:dyDescent="0.45">
      <c r="A316" s="82"/>
      <c r="B316"/>
      <c r="C316"/>
      <c r="D316"/>
    </row>
    <row r="317" spans="1:4" ht="15" customHeight="1" x14ac:dyDescent="0.45">
      <c r="A317" s="82"/>
      <c r="B317"/>
      <c r="C317"/>
      <c r="D317"/>
    </row>
    <row r="318" spans="1:4" ht="15" customHeight="1" x14ac:dyDescent="0.45">
      <c r="A318" s="82"/>
      <c r="B318"/>
      <c r="C318"/>
      <c r="D318"/>
    </row>
    <row r="319" spans="1:4" ht="15" customHeight="1" x14ac:dyDescent="0.45">
      <c r="A319" s="82"/>
      <c r="B319"/>
      <c r="C319"/>
      <c r="D319"/>
    </row>
    <row r="320" spans="1:4" ht="15" customHeight="1" x14ac:dyDescent="0.45">
      <c r="A320" s="82"/>
      <c r="B320"/>
      <c r="C320"/>
      <c r="D320"/>
    </row>
    <row r="321" spans="1:4" ht="15" customHeight="1" x14ac:dyDescent="0.45">
      <c r="A321" s="82"/>
      <c r="B321"/>
      <c r="C321"/>
      <c r="D321"/>
    </row>
    <row r="322" spans="1:4" ht="15" customHeight="1" x14ac:dyDescent="0.45">
      <c r="A322" s="82"/>
      <c r="B322"/>
      <c r="C322"/>
      <c r="D322"/>
    </row>
    <row r="323" spans="1:4" ht="15" customHeight="1" x14ac:dyDescent="0.45">
      <c r="A323" s="82"/>
      <c r="B323"/>
      <c r="C323"/>
      <c r="D323"/>
    </row>
    <row r="324" spans="1:4" ht="15" customHeight="1" x14ac:dyDescent="0.45">
      <c r="A324" s="82"/>
      <c r="B324"/>
      <c r="C324"/>
      <c r="D324"/>
    </row>
    <row r="325" spans="1:4" ht="15" customHeight="1" x14ac:dyDescent="0.45">
      <c r="A325" s="82"/>
      <c r="B325"/>
      <c r="C325"/>
      <c r="D325"/>
    </row>
    <row r="326" spans="1:4" ht="15" customHeight="1" x14ac:dyDescent="0.45">
      <c r="A326" s="82"/>
      <c r="B326"/>
      <c r="C326"/>
      <c r="D326"/>
    </row>
    <row r="327" spans="1:4" ht="15" customHeight="1" x14ac:dyDescent="0.45">
      <c r="A327" s="82"/>
      <c r="B327"/>
      <c r="C327"/>
      <c r="D327"/>
    </row>
    <row r="328" spans="1:4" ht="15" customHeight="1" x14ac:dyDescent="0.45">
      <c r="A328" s="82"/>
      <c r="B328"/>
      <c r="C328"/>
      <c r="D328"/>
    </row>
    <row r="329" spans="1:4" ht="15" customHeight="1" x14ac:dyDescent="0.45">
      <c r="A329" s="82"/>
      <c r="B329"/>
      <c r="C329"/>
      <c r="D329"/>
    </row>
    <row r="330" spans="1:4" ht="15" customHeight="1" x14ac:dyDescent="0.45">
      <c r="A330" s="82"/>
      <c r="B330"/>
      <c r="C330"/>
      <c r="D330"/>
    </row>
    <row r="331" spans="1:4" ht="15" customHeight="1" x14ac:dyDescent="0.45">
      <c r="A331" s="82"/>
      <c r="B331"/>
      <c r="C331"/>
      <c r="D331"/>
    </row>
    <row r="332" spans="1:4" ht="15" customHeight="1" x14ac:dyDescent="0.45">
      <c r="A332" s="82"/>
      <c r="B332"/>
      <c r="C332"/>
      <c r="D332"/>
    </row>
    <row r="333" spans="1:4" ht="15" customHeight="1" x14ac:dyDescent="0.45">
      <c r="A333" s="82"/>
      <c r="B333"/>
      <c r="C333"/>
      <c r="D333"/>
    </row>
    <row r="334" spans="1:4" ht="15" customHeight="1" x14ac:dyDescent="0.45">
      <c r="A334" s="82"/>
      <c r="B334"/>
      <c r="C334"/>
      <c r="D334"/>
    </row>
    <row r="335" spans="1:4" ht="15" customHeight="1" x14ac:dyDescent="0.45">
      <c r="A335" s="82"/>
      <c r="B335"/>
      <c r="C335"/>
      <c r="D335"/>
    </row>
    <row r="336" spans="1:4" ht="15" customHeight="1" x14ac:dyDescent="0.45">
      <c r="A336" s="82"/>
      <c r="B336"/>
      <c r="C336"/>
      <c r="D336"/>
    </row>
    <row r="337" spans="1:4" ht="15" customHeight="1" x14ac:dyDescent="0.45">
      <c r="A337" s="82"/>
      <c r="B337"/>
      <c r="C337"/>
      <c r="D337"/>
    </row>
    <row r="338" spans="1:4" ht="15" customHeight="1" x14ac:dyDescent="0.45">
      <c r="A338" s="82"/>
      <c r="B338"/>
      <c r="C338"/>
      <c r="D338"/>
    </row>
    <row r="339" spans="1:4" ht="15" customHeight="1" x14ac:dyDescent="0.45">
      <c r="A339" s="82"/>
      <c r="B339"/>
      <c r="C339"/>
      <c r="D339"/>
    </row>
    <row r="340" spans="1:4" ht="15" customHeight="1" x14ac:dyDescent="0.45">
      <c r="A340" s="82"/>
      <c r="B340"/>
      <c r="C340"/>
      <c r="D340"/>
    </row>
    <row r="341" spans="1:4" ht="15" customHeight="1" x14ac:dyDescent="0.45">
      <c r="A341" s="82"/>
      <c r="B341"/>
      <c r="C341"/>
      <c r="D341"/>
    </row>
    <row r="342" spans="1:4" ht="15" customHeight="1" x14ac:dyDescent="0.45">
      <c r="A342" s="82"/>
      <c r="B342"/>
      <c r="C342"/>
      <c r="D342"/>
    </row>
    <row r="343" spans="1:4" ht="15" customHeight="1" x14ac:dyDescent="0.45">
      <c r="A343" s="82"/>
      <c r="B343"/>
      <c r="C343"/>
      <c r="D343"/>
    </row>
    <row r="344" spans="1:4" ht="15" customHeight="1" x14ac:dyDescent="0.45">
      <c r="A344" s="82"/>
      <c r="B344"/>
      <c r="C344"/>
      <c r="D344"/>
    </row>
    <row r="345" spans="1:4" ht="15" customHeight="1" x14ac:dyDescent="0.45">
      <c r="A345" s="82"/>
      <c r="B345"/>
      <c r="C345"/>
      <c r="D345"/>
    </row>
    <row r="346" spans="1:4" ht="15" customHeight="1" x14ac:dyDescent="0.45">
      <c r="A346" s="82"/>
      <c r="B346"/>
      <c r="C346"/>
      <c r="D346"/>
    </row>
    <row r="347" spans="1:4" ht="15" customHeight="1" x14ac:dyDescent="0.45">
      <c r="A347" s="82"/>
      <c r="B347"/>
      <c r="C347"/>
      <c r="D347"/>
    </row>
    <row r="348" spans="1:4" ht="15" customHeight="1" x14ac:dyDescent="0.45">
      <c r="A348" s="82"/>
      <c r="B348"/>
      <c r="C348"/>
      <c r="D348"/>
    </row>
    <row r="349" spans="1:4" ht="15" customHeight="1" x14ac:dyDescent="0.45">
      <c r="A349" s="82"/>
      <c r="B349"/>
      <c r="C349"/>
      <c r="D349"/>
    </row>
    <row r="350" spans="1:4" ht="15" customHeight="1" x14ac:dyDescent="0.45">
      <c r="A350" s="82"/>
      <c r="B350"/>
      <c r="C350"/>
      <c r="D350"/>
    </row>
    <row r="351" spans="1:4" ht="15" customHeight="1" x14ac:dyDescent="0.45">
      <c r="A351" s="82"/>
      <c r="B351"/>
      <c r="C351"/>
      <c r="D351"/>
    </row>
    <row r="352" spans="1:4" ht="15" customHeight="1" x14ac:dyDescent="0.45">
      <c r="A352" s="82"/>
      <c r="B352"/>
      <c r="C352"/>
      <c r="D352"/>
    </row>
    <row r="353" spans="1:4" ht="15" customHeight="1" x14ac:dyDescent="0.45">
      <c r="A353" s="82"/>
      <c r="B353"/>
      <c r="C353"/>
      <c r="D353"/>
    </row>
    <row r="354" spans="1:4" ht="15" customHeight="1" x14ac:dyDescent="0.45">
      <c r="A354" s="82"/>
      <c r="B354"/>
      <c r="C354"/>
      <c r="D354"/>
    </row>
    <row r="355" spans="1:4" ht="15" customHeight="1" x14ac:dyDescent="0.45">
      <c r="A355" s="82"/>
      <c r="B355"/>
      <c r="C355"/>
      <c r="D355"/>
    </row>
    <row r="356" spans="1:4" ht="15" customHeight="1" x14ac:dyDescent="0.45">
      <c r="A356" s="82"/>
      <c r="B356"/>
      <c r="C356"/>
      <c r="D356"/>
    </row>
    <row r="357" spans="1:4" ht="15" customHeight="1" x14ac:dyDescent="0.45">
      <c r="A357" s="82"/>
      <c r="B357"/>
      <c r="C357"/>
      <c r="D357"/>
    </row>
    <row r="358" spans="1:4" ht="15" customHeight="1" x14ac:dyDescent="0.45">
      <c r="A358" s="82"/>
      <c r="B358"/>
      <c r="C358"/>
      <c r="D358"/>
    </row>
    <row r="359" spans="1:4" ht="15" customHeight="1" x14ac:dyDescent="0.45">
      <c r="A359" s="82"/>
      <c r="B359"/>
      <c r="C359"/>
      <c r="D359"/>
    </row>
    <row r="360" spans="1:4" ht="15" customHeight="1" x14ac:dyDescent="0.45">
      <c r="A360" s="82"/>
      <c r="B360"/>
      <c r="C360"/>
      <c r="D360"/>
    </row>
    <row r="361" spans="1:4" ht="15" customHeight="1" x14ac:dyDescent="0.45">
      <c r="A361" s="82"/>
      <c r="B361"/>
      <c r="C361"/>
      <c r="D361"/>
    </row>
    <row r="362" spans="1:4" ht="15" customHeight="1" x14ac:dyDescent="0.45">
      <c r="A362" s="82"/>
      <c r="B362"/>
      <c r="C362"/>
      <c r="D362"/>
    </row>
    <row r="363" spans="1:4" ht="15" customHeight="1" x14ac:dyDescent="0.45">
      <c r="A363" s="82"/>
      <c r="B363"/>
      <c r="C363"/>
      <c r="D363"/>
    </row>
    <row r="364" spans="1:4" ht="15" customHeight="1" x14ac:dyDescent="0.45">
      <c r="A364" s="82"/>
      <c r="B364"/>
      <c r="C364"/>
      <c r="D364"/>
    </row>
    <row r="365" spans="1:4" ht="15" customHeight="1" x14ac:dyDescent="0.45">
      <c r="A365" s="82"/>
      <c r="B365"/>
      <c r="C365"/>
      <c r="D365"/>
    </row>
    <row r="366" spans="1:4" ht="15" customHeight="1" x14ac:dyDescent="0.45">
      <c r="A366" s="82"/>
      <c r="B366"/>
      <c r="C366"/>
      <c r="D366"/>
    </row>
    <row r="367" spans="1:4" ht="15" customHeight="1" x14ac:dyDescent="0.45">
      <c r="A367" s="82"/>
      <c r="B367"/>
      <c r="C367"/>
      <c r="D367"/>
    </row>
    <row r="368" spans="1:4" ht="15" customHeight="1" x14ac:dyDescent="0.45">
      <c r="A368" s="82"/>
      <c r="B368"/>
      <c r="C368"/>
      <c r="D368"/>
    </row>
    <row r="369" spans="1:4" ht="15" customHeight="1" x14ac:dyDescent="0.45">
      <c r="A369" s="82"/>
      <c r="B369"/>
      <c r="C369"/>
      <c r="D369"/>
    </row>
    <row r="370" spans="1:4" ht="15" customHeight="1" x14ac:dyDescent="0.45">
      <c r="A370" s="82"/>
      <c r="B370"/>
      <c r="C370"/>
      <c r="D370"/>
    </row>
    <row r="371" spans="1:4" ht="15" customHeight="1" x14ac:dyDescent="0.45">
      <c r="A371" s="82"/>
      <c r="B371"/>
      <c r="C371"/>
      <c r="D371"/>
    </row>
    <row r="372" spans="1:4" ht="15" customHeight="1" x14ac:dyDescent="0.45">
      <c r="A372" s="82"/>
      <c r="B372"/>
      <c r="C372"/>
      <c r="D372"/>
    </row>
    <row r="373" spans="1:4" ht="15" customHeight="1" x14ac:dyDescent="0.45">
      <c r="A373" s="82"/>
      <c r="B373"/>
      <c r="C373"/>
      <c r="D373"/>
    </row>
    <row r="374" spans="1:4" ht="15" customHeight="1" x14ac:dyDescent="0.45">
      <c r="A374" s="82"/>
      <c r="B374"/>
      <c r="C374"/>
      <c r="D374"/>
    </row>
    <row r="375" spans="1:4" ht="15" customHeight="1" x14ac:dyDescent="0.45">
      <c r="A375" s="82"/>
      <c r="B375"/>
      <c r="C375"/>
      <c r="D375"/>
    </row>
    <row r="376" spans="1:4" ht="15" customHeight="1" x14ac:dyDescent="0.45">
      <c r="A376" s="82"/>
      <c r="B376"/>
      <c r="C376"/>
      <c r="D376"/>
    </row>
    <row r="377" spans="1:4" ht="15" customHeight="1" x14ac:dyDescent="0.45">
      <c r="A377" s="82"/>
      <c r="B377"/>
      <c r="C377"/>
      <c r="D377"/>
    </row>
    <row r="378" spans="1:4" ht="15" customHeight="1" x14ac:dyDescent="0.45">
      <c r="A378" s="82"/>
      <c r="B378"/>
      <c r="C378"/>
      <c r="D378"/>
    </row>
    <row r="379" spans="1:4" ht="15" customHeight="1" x14ac:dyDescent="0.45">
      <c r="A379" s="82"/>
      <c r="B379"/>
      <c r="C379"/>
      <c r="D379"/>
    </row>
    <row r="380" spans="1:4" ht="15" customHeight="1" x14ac:dyDescent="0.45">
      <c r="A380" s="82"/>
      <c r="B380"/>
      <c r="C380"/>
      <c r="D380"/>
    </row>
    <row r="381" spans="1:4" ht="15" customHeight="1" x14ac:dyDescent="0.45">
      <c r="A381" s="82"/>
      <c r="B381"/>
      <c r="C381"/>
      <c r="D381"/>
    </row>
    <row r="382" spans="1:4" ht="15" customHeight="1" x14ac:dyDescent="0.45">
      <c r="A382" s="82"/>
      <c r="B382"/>
      <c r="C382"/>
      <c r="D382"/>
    </row>
    <row r="383" spans="1:4" ht="15" customHeight="1" x14ac:dyDescent="0.45">
      <c r="A383" s="82"/>
      <c r="B383"/>
      <c r="C383"/>
      <c r="D383"/>
    </row>
    <row r="384" spans="1:4" ht="15" customHeight="1" x14ac:dyDescent="0.45">
      <c r="A384" s="82"/>
      <c r="B384"/>
      <c r="C384"/>
      <c r="D384"/>
    </row>
    <row r="385" spans="1:4" ht="15" customHeight="1" x14ac:dyDescent="0.45">
      <c r="A385" s="82"/>
      <c r="B385"/>
      <c r="C385"/>
      <c r="D385"/>
    </row>
    <row r="386" spans="1:4" ht="15" customHeight="1" x14ac:dyDescent="0.45">
      <c r="A386" s="82"/>
      <c r="B386"/>
      <c r="C386"/>
      <c r="D386"/>
    </row>
    <row r="387" spans="1:4" ht="15" customHeight="1" x14ac:dyDescent="0.45">
      <c r="A387" s="82"/>
      <c r="B387"/>
      <c r="C387"/>
      <c r="D387"/>
    </row>
    <row r="388" spans="1:4" ht="15" customHeight="1" x14ac:dyDescent="0.45">
      <c r="A388" s="82"/>
      <c r="B388"/>
      <c r="C388"/>
      <c r="D388"/>
    </row>
    <row r="389" spans="1:4" ht="15" customHeight="1" x14ac:dyDescent="0.45">
      <c r="A389" s="82"/>
      <c r="B389"/>
      <c r="C389"/>
      <c r="D389"/>
    </row>
    <row r="390" spans="1:4" ht="15" customHeight="1" x14ac:dyDescent="0.45">
      <c r="A390" s="82"/>
      <c r="B390"/>
      <c r="C390"/>
      <c r="D390"/>
    </row>
    <row r="391" spans="1:4" ht="15" customHeight="1" x14ac:dyDescent="0.45">
      <c r="A391" s="82"/>
      <c r="B391"/>
      <c r="C391"/>
      <c r="D391"/>
    </row>
    <row r="392" spans="1:4" ht="15" customHeight="1" x14ac:dyDescent="0.45">
      <c r="A392" s="82"/>
      <c r="B392"/>
      <c r="C392"/>
      <c r="D392"/>
    </row>
    <row r="393" spans="1:4" ht="15" customHeight="1" x14ac:dyDescent="0.45">
      <c r="A393" s="82"/>
      <c r="B393"/>
      <c r="C393"/>
      <c r="D393"/>
    </row>
    <row r="394" spans="1:4" ht="15" customHeight="1" x14ac:dyDescent="0.45">
      <c r="A394" s="82"/>
      <c r="B394"/>
      <c r="C394"/>
      <c r="D394"/>
    </row>
    <row r="395" spans="1:4" ht="15" customHeight="1" x14ac:dyDescent="0.45">
      <c r="A395" s="82"/>
      <c r="B395"/>
      <c r="C395"/>
      <c r="D395"/>
    </row>
    <row r="396" spans="1:4" ht="15" customHeight="1" x14ac:dyDescent="0.45">
      <c r="A396" s="82"/>
      <c r="B396"/>
      <c r="C396"/>
      <c r="D396"/>
    </row>
    <row r="397" spans="1:4" ht="15" customHeight="1" x14ac:dyDescent="0.45">
      <c r="A397" s="82"/>
      <c r="B397"/>
      <c r="C397"/>
      <c r="D397"/>
    </row>
    <row r="398" spans="1:4" ht="15" customHeight="1" x14ac:dyDescent="0.45">
      <c r="A398" s="82"/>
      <c r="B398"/>
      <c r="C398"/>
      <c r="D398"/>
    </row>
    <row r="399" spans="1:4" ht="15" customHeight="1" x14ac:dyDescent="0.45">
      <c r="A399" s="82"/>
      <c r="B399"/>
      <c r="C399"/>
      <c r="D399"/>
    </row>
    <row r="400" spans="1:4" ht="15" customHeight="1" x14ac:dyDescent="0.45">
      <c r="A400" s="82"/>
      <c r="B400"/>
      <c r="C400"/>
      <c r="D400"/>
    </row>
    <row r="401" spans="1:4" ht="15" customHeight="1" x14ac:dyDescent="0.45">
      <c r="A401" s="82"/>
      <c r="B401"/>
      <c r="C401"/>
      <c r="D401"/>
    </row>
    <row r="402" spans="1:4" ht="15" customHeight="1" x14ac:dyDescent="0.45">
      <c r="A402" s="82"/>
      <c r="B402"/>
      <c r="C402"/>
      <c r="D402"/>
    </row>
    <row r="403" spans="1:4" ht="15" customHeight="1" x14ac:dyDescent="0.45">
      <c r="A403" s="82"/>
      <c r="B403"/>
      <c r="C403"/>
      <c r="D403"/>
    </row>
    <row r="404" spans="1:4" ht="15" customHeight="1" x14ac:dyDescent="0.45">
      <c r="A404" s="82"/>
      <c r="B404"/>
      <c r="C404"/>
      <c r="D404"/>
    </row>
    <row r="405" spans="1:4" ht="15" customHeight="1" x14ac:dyDescent="0.45">
      <c r="A405" s="82"/>
      <c r="B405"/>
      <c r="C405"/>
      <c r="D405"/>
    </row>
    <row r="406" spans="1:4" ht="15" customHeight="1" x14ac:dyDescent="0.45">
      <c r="A406" s="82"/>
      <c r="B406"/>
      <c r="C406"/>
      <c r="D406"/>
    </row>
    <row r="407" spans="1:4" ht="15" customHeight="1" x14ac:dyDescent="0.45">
      <c r="A407" s="82"/>
      <c r="B407"/>
      <c r="C407"/>
      <c r="D407"/>
    </row>
    <row r="408" spans="1:4" ht="15" customHeight="1" x14ac:dyDescent="0.45">
      <c r="A408" s="82"/>
      <c r="B408"/>
      <c r="C408"/>
      <c r="D408"/>
    </row>
    <row r="409" spans="1:4" ht="15" customHeight="1" x14ac:dyDescent="0.45">
      <c r="A409" s="82"/>
      <c r="B409"/>
      <c r="C409"/>
      <c r="D409"/>
    </row>
    <row r="410" spans="1:4" ht="15" customHeight="1" x14ac:dyDescent="0.45">
      <c r="A410" s="82"/>
      <c r="B410"/>
      <c r="C410"/>
      <c r="D410"/>
    </row>
    <row r="411" spans="1:4" ht="15" customHeight="1" x14ac:dyDescent="0.45">
      <c r="A411" s="82"/>
      <c r="B411"/>
      <c r="C411"/>
      <c r="D411"/>
    </row>
    <row r="412" spans="1:4" ht="15" customHeight="1" x14ac:dyDescent="0.45">
      <c r="A412" s="82"/>
      <c r="B412"/>
      <c r="C412"/>
      <c r="D412"/>
    </row>
    <row r="413" spans="1:4" ht="15" customHeight="1" x14ac:dyDescent="0.45">
      <c r="A413" s="82"/>
      <c r="B413"/>
      <c r="C413"/>
      <c r="D413"/>
    </row>
    <row r="414" spans="1:4" ht="15" customHeight="1" x14ac:dyDescent="0.45">
      <c r="A414" s="82"/>
      <c r="B414"/>
      <c r="C414"/>
      <c r="D414"/>
    </row>
    <row r="415" spans="1:4" ht="15" customHeight="1" x14ac:dyDescent="0.45">
      <c r="A415" s="82"/>
      <c r="B415"/>
      <c r="C415"/>
      <c r="D415"/>
    </row>
    <row r="416" spans="1:4" ht="15" customHeight="1" x14ac:dyDescent="0.45">
      <c r="A416" s="82"/>
      <c r="B416"/>
      <c r="C416"/>
      <c r="D416"/>
    </row>
    <row r="417" spans="1:4" ht="15" customHeight="1" x14ac:dyDescent="0.45">
      <c r="A417" s="82"/>
      <c r="B417"/>
      <c r="C417"/>
      <c r="D417"/>
    </row>
    <row r="418" spans="1:4" ht="15" customHeight="1" x14ac:dyDescent="0.45">
      <c r="A418" s="82"/>
      <c r="B418"/>
      <c r="C418"/>
      <c r="D418"/>
    </row>
    <row r="419" spans="1:4" ht="15" customHeight="1" x14ac:dyDescent="0.45">
      <c r="A419" s="82"/>
      <c r="B419"/>
      <c r="C419"/>
      <c r="D419"/>
    </row>
    <row r="420" spans="1:4" ht="15" customHeight="1" x14ac:dyDescent="0.45">
      <c r="A420" s="82"/>
      <c r="B420"/>
      <c r="C420"/>
      <c r="D420"/>
    </row>
    <row r="421" spans="1:4" ht="15" customHeight="1" x14ac:dyDescent="0.45">
      <c r="A421" s="82"/>
      <c r="B421"/>
      <c r="C421"/>
      <c r="D421"/>
    </row>
    <row r="422" spans="1:4" ht="15" customHeight="1" x14ac:dyDescent="0.45">
      <c r="A422" s="82"/>
      <c r="B422"/>
      <c r="C422"/>
      <c r="D422"/>
    </row>
    <row r="423" spans="1:4" ht="15" customHeight="1" x14ac:dyDescent="0.45">
      <c r="A423" s="82"/>
      <c r="B423"/>
      <c r="C423"/>
      <c r="D423"/>
    </row>
    <row r="424" spans="1:4" ht="15" customHeight="1" x14ac:dyDescent="0.45">
      <c r="A424" s="82"/>
      <c r="B424"/>
      <c r="C424"/>
      <c r="D424"/>
    </row>
    <row r="425" spans="1:4" ht="15" customHeight="1" x14ac:dyDescent="0.45">
      <c r="A425" s="82"/>
      <c r="B425"/>
      <c r="C425"/>
      <c r="D425"/>
    </row>
  </sheetData>
  <pageMargins left="0.7" right="0.7" top="0.75" bottom="0.75" header="0.3" footer="0.3"/>
  <pageSetup paperSize="9" scale="27" orientation="landscape" verticalDpi="1200" r:id="rId1"/>
  <headerFooter>
    <oddHeader xml:space="preserve">&amp;R&amp;10&amp;F 
&amp;A
</oddHeader>
    <oddFooter>&amp;L&amp;10© 2016&amp;C&amp;10Page &amp;P of &amp;N&amp;R&amp;G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88D34-1F06-4248-9143-5A08CFDB874A}">
  <dimension ref="A1:AA459"/>
  <sheetViews>
    <sheetView zoomScale="130" zoomScaleNormal="130" workbookViewId="0">
      <pane xSplit="4" ySplit="2" topLeftCell="E87" activePane="bottomRight" state="frozen"/>
      <selection pane="topRight" activeCell="E1" sqref="E1"/>
      <selection pane="bottomLeft" activeCell="A3" sqref="A3"/>
      <selection pane="bottomRight" activeCell="E40" sqref="E40"/>
    </sheetView>
  </sheetViews>
  <sheetFormatPr defaultColWidth="13.86328125" defaultRowHeight="15" customHeight="1" x14ac:dyDescent="0.45"/>
  <cols>
    <col min="1" max="1" width="1.53125" style="15" customWidth="1"/>
    <col min="2" max="2" width="27.19921875" style="16" customWidth="1"/>
    <col min="3" max="4" width="10.1328125" style="16" customWidth="1"/>
    <col min="5" max="5" width="4.796875" customWidth="1"/>
    <col min="6" max="27" width="14" bestFit="1" customWidth="1"/>
  </cols>
  <sheetData>
    <row r="1" spans="1:27" s="46" customFormat="1" ht="45" customHeight="1" x14ac:dyDescent="0.85">
      <c r="A1" s="5" t="str">
        <f>Info!A1</f>
        <v>Renewable Energy Modeling</v>
      </c>
      <c r="B1" s="10"/>
      <c r="C1" s="84"/>
      <c r="D1" s="10"/>
      <c r="E1" s="1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35" customFormat="1" ht="30" customHeight="1" x14ac:dyDescent="0.65">
      <c r="A2" s="14" t="str">
        <f ca="1">RIGHT(CELL("filename",A1),LEN(CELL("filename",A1))-SEARCH("]",CELL("filename", A1)))</f>
        <v>Debt</v>
      </c>
      <c r="B2" s="7"/>
      <c r="C2" s="11" t="s">
        <v>11</v>
      </c>
      <c r="D2" s="11" t="s">
        <v>11</v>
      </c>
      <c r="E2" s="11"/>
      <c r="F2" s="11">
        <f>'Assumptions and Outputs'!D11</f>
        <v>55153</v>
      </c>
      <c r="G2" s="11">
        <f>EDATE(F2,12)</f>
        <v>55518</v>
      </c>
      <c r="H2" s="11">
        <f t="shared" ref="H2:AA2" si="0">EDATE(G2,12)</f>
        <v>55884</v>
      </c>
      <c r="I2" s="11">
        <f t="shared" si="0"/>
        <v>56249</v>
      </c>
      <c r="J2" s="11">
        <f t="shared" si="0"/>
        <v>56614</v>
      </c>
      <c r="K2" s="11">
        <f t="shared" si="0"/>
        <v>56979</v>
      </c>
      <c r="L2" s="11">
        <f t="shared" si="0"/>
        <v>57345</v>
      </c>
      <c r="M2" s="11">
        <f t="shared" si="0"/>
        <v>57710</v>
      </c>
      <c r="N2" s="11">
        <f t="shared" si="0"/>
        <v>58075</v>
      </c>
      <c r="O2" s="11">
        <f t="shared" si="0"/>
        <v>58440</v>
      </c>
      <c r="P2" s="11">
        <f t="shared" si="0"/>
        <v>58806</v>
      </c>
      <c r="Q2" s="11">
        <f t="shared" si="0"/>
        <v>59171</v>
      </c>
      <c r="R2" s="11">
        <f t="shared" si="0"/>
        <v>59536</v>
      </c>
      <c r="S2" s="11">
        <f t="shared" si="0"/>
        <v>59901</v>
      </c>
      <c r="T2" s="11">
        <f t="shared" si="0"/>
        <v>60267</v>
      </c>
      <c r="U2" s="11">
        <f t="shared" si="0"/>
        <v>60632</v>
      </c>
      <c r="V2" s="11">
        <f t="shared" si="0"/>
        <v>60997</v>
      </c>
      <c r="W2" s="11">
        <f t="shared" si="0"/>
        <v>61362</v>
      </c>
      <c r="X2" s="11">
        <f t="shared" si="0"/>
        <v>61728</v>
      </c>
      <c r="Y2" s="11">
        <f t="shared" si="0"/>
        <v>62093</v>
      </c>
      <c r="Z2" s="11">
        <f t="shared" si="0"/>
        <v>62458</v>
      </c>
      <c r="AA2" s="11">
        <f t="shared" si="0"/>
        <v>62823</v>
      </c>
    </row>
    <row r="3" spans="1:27" ht="15" customHeight="1" x14ac:dyDescent="0.45">
      <c r="A3" s="82"/>
      <c r="B3" s="77" t="str">
        <f>"all in "&amp;Local_currency&amp;" 000s unless stated"</f>
        <v>all in GBP 000s unless stated</v>
      </c>
      <c r="C3" s="77"/>
      <c r="D3" s="77"/>
      <c r="L3" t="str">
        <f t="shared" ref="L3:L5" ca="1" si="1">IF(ISBLANK(K3),"",_xlfn.FORMULATEXT(K3))</f>
        <v/>
      </c>
    </row>
    <row r="4" spans="1:27" ht="15" customHeight="1" x14ac:dyDescent="0.45">
      <c r="A4" s="82"/>
      <c r="B4" s="77"/>
      <c r="C4" s="77"/>
      <c r="D4" s="77"/>
      <c r="L4" t="str">
        <f t="shared" ca="1" si="1"/>
        <v/>
      </c>
    </row>
    <row r="5" spans="1:27" ht="15" customHeight="1" x14ac:dyDescent="0.45">
      <c r="A5" s="82" t="s">
        <v>65</v>
      </c>
      <c r="B5" s="77"/>
      <c r="C5" s="77"/>
      <c r="D5" s="77"/>
      <c r="L5" t="str">
        <f t="shared" ca="1" si="1"/>
        <v/>
      </c>
    </row>
    <row r="6" spans="1:27" ht="15" customHeight="1" x14ac:dyDescent="0.45">
      <c r="A6" s="82"/>
      <c r="B6" t="s">
        <v>111</v>
      </c>
      <c r="C6" t="s">
        <v>112</v>
      </c>
      <c r="D6" s="103">
        <f>'Assumptions and Outputs'!D13</f>
        <v>56249</v>
      </c>
      <c r="F6">
        <f>IF(F2&gt;$D$6,0,1)</f>
        <v>1</v>
      </c>
      <c r="G6">
        <f t="shared" ref="G6:K6" si="2">IF(G2&gt;$D$6,0,1)</f>
        <v>1</v>
      </c>
      <c r="H6">
        <f t="shared" si="2"/>
        <v>1</v>
      </c>
      <c r="I6">
        <f t="shared" si="2"/>
        <v>1</v>
      </c>
      <c r="J6">
        <f t="shared" si="2"/>
        <v>0</v>
      </c>
      <c r="K6">
        <f t="shared" si="2"/>
        <v>0</v>
      </c>
      <c r="L6">
        <f t="shared" ref="L6:AA6" si="3">IF(L2&gt;$D$6,0,1)</f>
        <v>0</v>
      </c>
      <c r="M6">
        <f t="shared" si="3"/>
        <v>0</v>
      </c>
      <c r="N6">
        <f t="shared" si="3"/>
        <v>0</v>
      </c>
      <c r="O6">
        <f t="shared" si="3"/>
        <v>0</v>
      </c>
      <c r="P6">
        <f t="shared" si="3"/>
        <v>0</v>
      </c>
      <c r="Q6">
        <f t="shared" si="3"/>
        <v>0</v>
      </c>
      <c r="R6">
        <f t="shared" si="3"/>
        <v>0</v>
      </c>
      <c r="S6">
        <f t="shared" si="3"/>
        <v>0</v>
      </c>
      <c r="T6">
        <f t="shared" si="3"/>
        <v>0</v>
      </c>
      <c r="U6">
        <f t="shared" si="3"/>
        <v>0</v>
      </c>
      <c r="V6">
        <f t="shared" si="3"/>
        <v>0</v>
      </c>
      <c r="W6">
        <f t="shared" si="3"/>
        <v>0</v>
      </c>
      <c r="X6">
        <f t="shared" si="3"/>
        <v>0</v>
      </c>
      <c r="Y6">
        <f t="shared" si="3"/>
        <v>0</v>
      </c>
      <c r="Z6">
        <f t="shared" si="3"/>
        <v>0</v>
      </c>
      <c r="AA6">
        <f t="shared" si="3"/>
        <v>0</v>
      </c>
    </row>
    <row r="7" spans="1:27" ht="15" customHeight="1" x14ac:dyDescent="0.45">
      <c r="A7" s="82"/>
      <c r="B7" t="s">
        <v>169</v>
      </c>
      <c r="C7"/>
      <c r="D7" s="103"/>
      <c r="F7">
        <f>'Sources and Uses'!F7</f>
        <v>1</v>
      </c>
      <c r="G7">
        <f>'Sources and Uses'!G7</f>
        <v>1</v>
      </c>
      <c r="H7">
        <f>'Sources and Uses'!H7</f>
        <v>0</v>
      </c>
      <c r="I7">
        <f>'Sources and Uses'!I7</f>
        <v>0</v>
      </c>
      <c r="J7">
        <f>'Sources and Uses'!J7</f>
        <v>0</v>
      </c>
      <c r="K7">
        <f>'Sources and Uses'!K7</f>
        <v>0</v>
      </c>
      <c r="L7">
        <f>'Sources and Uses'!L7</f>
        <v>0</v>
      </c>
      <c r="M7">
        <f>'Sources and Uses'!M7</f>
        <v>0</v>
      </c>
      <c r="N7">
        <f>'Sources and Uses'!N7</f>
        <v>0</v>
      </c>
      <c r="O7">
        <f>'Sources and Uses'!O7</f>
        <v>0</v>
      </c>
      <c r="P7">
        <f>'Sources and Uses'!P7</f>
        <v>0</v>
      </c>
      <c r="Q7">
        <f>'Sources and Uses'!Q7</f>
        <v>0</v>
      </c>
      <c r="R7">
        <f>'Sources and Uses'!R7</f>
        <v>0</v>
      </c>
      <c r="S7">
        <f>'Sources and Uses'!S7</f>
        <v>0</v>
      </c>
      <c r="T7">
        <f>'Sources and Uses'!T7</f>
        <v>0</v>
      </c>
      <c r="U7">
        <f>'Sources and Uses'!U7</f>
        <v>0</v>
      </c>
      <c r="V7">
        <f>'Sources and Uses'!V7</f>
        <v>0</v>
      </c>
      <c r="W7">
        <f>'Sources and Uses'!W7</f>
        <v>0</v>
      </c>
      <c r="X7">
        <f>'Sources and Uses'!X7</f>
        <v>0</v>
      </c>
      <c r="Y7">
        <f>'Sources and Uses'!Y7</f>
        <v>0</v>
      </c>
      <c r="Z7">
        <f>'Sources and Uses'!Z7</f>
        <v>0</v>
      </c>
      <c r="AA7">
        <f>'Sources and Uses'!AA7</f>
        <v>0</v>
      </c>
    </row>
    <row r="8" spans="1:27" ht="15" customHeight="1" x14ac:dyDescent="0.45">
      <c r="A8" s="82"/>
      <c r="B8" t="s">
        <v>290</v>
      </c>
      <c r="C8"/>
      <c r="D8" s="103"/>
      <c r="F8">
        <f>1-F7</f>
        <v>0</v>
      </c>
      <c r="G8">
        <f t="shared" ref="G8:K8" si="4">1-G7</f>
        <v>0</v>
      </c>
      <c r="H8">
        <f t="shared" si="4"/>
        <v>1</v>
      </c>
      <c r="I8">
        <f t="shared" si="4"/>
        <v>1</v>
      </c>
      <c r="J8">
        <f t="shared" si="4"/>
        <v>1</v>
      </c>
      <c r="K8">
        <f t="shared" si="4"/>
        <v>1</v>
      </c>
      <c r="L8">
        <f t="shared" ref="L8:AA8" si="5">1-L7</f>
        <v>1</v>
      </c>
      <c r="M8">
        <f t="shared" si="5"/>
        <v>1</v>
      </c>
      <c r="N8">
        <f t="shared" si="5"/>
        <v>1</v>
      </c>
      <c r="O8">
        <f t="shared" si="5"/>
        <v>1</v>
      </c>
      <c r="P8">
        <f t="shared" si="5"/>
        <v>1</v>
      </c>
      <c r="Q8">
        <f t="shared" si="5"/>
        <v>1</v>
      </c>
      <c r="R8">
        <f t="shared" si="5"/>
        <v>1</v>
      </c>
      <c r="S8">
        <f t="shared" si="5"/>
        <v>1</v>
      </c>
      <c r="T8">
        <f t="shared" si="5"/>
        <v>1</v>
      </c>
      <c r="U8">
        <f t="shared" si="5"/>
        <v>1</v>
      </c>
      <c r="V8">
        <f t="shared" si="5"/>
        <v>1</v>
      </c>
      <c r="W8">
        <f t="shared" si="5"/>
        <v>1</v>
      </c>
      <c r="X8">
        <f t="shared" si="5"/>
        <v>1</v>
      </c>
      <c r="Y8">
        <f t="shared" si="5"/>
        <v>1</v>
      </c>
      <c r="Z8">
        <f t="shared" si="5"/>
        <v>1</v>
      </c>
      <c r="AA8">
        <f t="shared" si="5"/>
        <v>1</v>
      </c>
    </row>
    <row r="9" spans="1:27" ht="15" customHeight="1" x14ac:dyDescent="0.45">
      <c r="A9" s="82"/>
      <c r="B9" s="77"/>
      <c r="C9"/>
      <c r="D9"/>
    </row>
    <row r="10" spans="1:27" ht="15" customHeight="1" x14ac:dyDescent="0.45">
      <c r="A10" s="82" t="s">
        <v>236</v>
      </c>
      <c r="B10"/>
      <c r="C10"/>
      <c r="D10"/>
    </row>
    <row r="11" spans="1:27" ht="15" customHeight="1" x14ac:dyDescent="0.45">
      <c r="A11" s="82"/>
      <c r="B11" t="s">
        <v>108</v>
      </c>
      <c r="F11">
        <f ca="1">Operations!F50</f>
        <v>0</v>
      </c>
      <c r="G11">
        <f ca="1">Operations!G50</f>
        <v>0</v>
      </c>
      <c r="H11">
        <f ca="1">Operations!H50</f>
        <v>16412.825750287851</v>
      </c>
      <c r="I11">
        <f ca="1">Operations!I50</f>
        <v>21955.44642802226</v>
      </c>
      <c r="J11">
        <f ca="1">Operations!J50</f>
        <v>30156.830954725949</v>
      </c>
      <c r="K11">
        <f ca="1">Operations!K50</f>
        <v>30476.773194043519</v>
      </c>
      <c r="L11">
        <f ca="1">Operations!L50</f>
        <v>30823.703792569078</v>
      </c>
      <c r="M11">
        <f ca="1">Operations!M50</f>
        <v>31198.702284670948</v>
      </c>
      <c r="N11">
        <f ca="1">Operations!N50</f>
        <v>31602.89138609216</v>
      </c>
      <c r="O11">
        <f ca="1">Operations!O50</f>
        <v>32037.438721205523</v>
      </c>
      <c r="P11">
        <f ca="1">Operations!P50</f>
        <v>32503.558619358679</v>
      </c>
      <c r="Q11">
        <f ca="1">Operations!Q50</f>
        <v>33002.513983073251</v>
      </c>
      <c r="R11">
        <f ca="1">Operations!R50</f>
        <v>33535.61823097169</v>
      </c>
      <c r="S11">
        <f ca="1">Operations!S50</f>
        <v>34104.237318421328</v>
      </c>
      <c r="T11">
        <f ca="1">Operations!T50</f>
        <v>34709.79183900424</v>
      </c>
      <c r="U11">
        <f ca="1">Operations!U50</f>
        <v>35353.759210045755</v>
      </c>
      <c r="V11">
        <f ca="1">Operations!V50</f>
        <v>36037.675945564202</v>
      </c>
      <c r="W11">
        <f ca="1">Operations!W50</f>
        <v>36763.140020138686</v>
      </c>
      <c r="X11">
        <f ca="1">Operations!X50</f>
        <v>37531.813327331402</v>
      </c>
      <c r="Y11">
        <f ca="1">Operations!Y50</f>
        <v>32757.848067555467</v>
      </c>
      <c r="Z11">
        <f ca="1">Operations!Z50</f>
        <v>33834.63434201655</v>
      </c>
      <c r="AA11">
        <f ca="1">Operations!AA50</f>
        <v>34960.025126717526</v>
      </c>
    </row>
    <row r="12" spans="1:27" ht="15" customHeight="1" x14ac:dyDescent="0.45">
      <c r="A12" s="82"/>
      <c r="B12" t="s">
        <v>228</v>
      </c>
      <c r="F12">
        <f ca="1">'P&amp;L and Tax'!F50</f>
        <v>0</v>
      </c>
      <c r="G12">
        <f ca="1">'P&amp;L and Tax'!G50</f>
        <v>-3.5830609355651633</v>
      </c>
      <c r="H12">
        <f ca="1">'P&amp;L and Tax'!H50</f>
        <v>-3.5830609355651633</v>
      </c>
      <c r="I12">
        <f ca="1">'P&amp;L and Tax'!I50</f>
        <v>-401.35979730625058</v>
      </c>
      <c r="J12">
        <f ca="1">'P&amp;L and Tax'!J50</f>
        <v>-2002.659452728007</v>
      </c>
      <c r="K12">
        <f ca="1">'P&amp;L and Tax'!K50</f>
        <v>-3286.494474942358</v>
      </c>
      <c r="L12">
        <f ca="1">'P&amp;L and Tax'!L50</f>
        <v>-3457.6583480410472</v>
      </c>
      <c r="M12">
        <f ca="1">'P&amp;L and Tax'!M50</f>
        <v>-3635.7042527377735</v>
      </c>
      <c r="N12">
        <f ca="1">'P&amp;L and Tax'!N50</f>
        <v>-3820.9074702964563</v>
      </c>
      <c r="O12">
        <f ca="1">'P&amp;L and Tax'!O50</f>
        <v>-4013.5542932315761</v>
      </c>
      <c r="P12">
        <f ca="1">'P&amp;L and Tax'!P50</f>
        <v>-4213.9424657581894</v>
      </c>
      <c r="Q12">
        <f ca="1">'P&amp;L and Tax'!Q50</f>
        <v>-4422.3816418599527</v>
      </c>
      <c r="R12">
        <f ca="1">'P&amp;L and Tax'!R50</f>
        <v>-4639.1938616798761</v>
      </c>
      <c r="S12">
        <f ca="1">'P&amp;L and Tax'!S50</f>
        <v>-4864.7140469666838</v>
      </c>
      <c r="T12">
        <f ca="1">'P&amp;L and Tax'!T50</f>
        <v>-5099.2905163390506</v>
      </c>
      <c r="U12">
        <f ca="1">'P&amp;L and Tax'!U50</f>
        <v>-5343.2855211604019</v>
      </c>
      <c r="V12">
        <f ca="1">'P&amp;L and Tax'!V50</f>
        <v>-5597.0758028486944</v>
      </c>
      <c r="W12">
        <f ca="1">'P&amp;L and Tax'!W50</f>
        <v>-5861.0531724786088</v>
      </c>
      <c r="X12">
        <f ca="1">'P&amp;L and Tax'!X50</f>
        <v>-6132.1328784622492</v>
      </c>
      <c r="Y12">
        <f ca="1">'P&amp;L and Tax'!Y50</f>
        <v>-5698.8994414995304</v>
      </c>
      <c r="Z12">
        <f ca="1">'P&amp;L and Tax'!Z50</f>
        <v>-5280.8878784569151</v>
      </c>
      <c r="AA12">
        <f ca="1">'P&amp;L and Tax'!AA50</f>
        <v>-5589.1676589556109</v>
      </c>
    </row>
    <row r="13" spans="1:27" ht="15" customHeight="1" x14ac:dyDescent="0.45">
      <c r="A13" s="82"/>
      <c r="B13" t="s">
        <v>322</v>
      </c>
      <c r="F13">
        <f ca="1">'Cashflow statement'!F7</f>
        <v>0</v>
      </c>
      <c r="G13">
        <f ca="1">'Cashflow statement'!G7</f>
        <v>0</v>
      </c>
      <c r="H13">
        <f ca="1">'Cashflow statement'!H7</f>
        <v>-3483.4693118399878</v>
      </c>
      <c r="I13">
        <f ca="1">'Cashflow statement'!I7</f>
        <v>-615.13505267375467</v>
      </c>
      <c r="J13">
        <f ca="1">'Cashflow statement'!J7</f>
        <v>-765.84828440927322</v>
      </c>
      <c r="K13">
        <f ca="1">'Cashflow statement'!K7</f>
        <v>-121.72898276200522</v>
      </c>
      <c r="L13">
        <f ca="1">'Cashflow statement'!L7</f>
        <v>-127.76449848086486</v>
      </c>
      <c r="M13">
        <f ca="1">'Cashflow statement'!M7</f>
        <v>-134.04143482848031</v>
      </c>
      <c r="N13">
        <f ca="1">'Cashflow statement'!N7</f>
        <v>-140.56944862999808</v>
      </c>
      <c r="O13">
        <f ca="1">'Cashflow statement'!O7</f>
        <v>-147.35858298357743</v>
      </c>
      <c r="P13">
        <f ca="1">'Cashflow statement'!P7</f>
        <v>-154.41928271129837</v>
      </c>
      <c r="Q13">
        <f ca="1">'Cashflow statement'!Q7</f>
        <v>-161.76241042813126</v>
      </c>
      <c r="R13">
        <f ca="1">'Cashflow statement'!R7</f>
        <v>-169.39926325363558</v>
      </c>
      <c r="S13">
        <f ca="1">'Cashflow statement'!S7</f>
        <v>-177.34159019215804</v>
      </c>
      <c r="T13">
        <f ca="1">'Cashflow statement'!T7</f>
        <v>-185.60161020822488</v>
      </c>
      <c r="U13">
        <f ca="1">'Cashflow statement'!U7</f>
        <v>-194.19203102493339</v>
      </c>
      <c r="V13">
        <f ca="1">'Cashflow statement'!V7</f>
        <v>-203.12606867430986</v>
      </c>
      <c r="W13">
        <f ca="1">'Cashflow statement'!W7</f>
        <v>-212.41746782966129</v>
      </c>
      <c r="X13">
        <f ca="1">'Cashflow statement'!X7</f>
        <v>-222.08052295122616</v>
      </c>
      <c r="Y13">
        <f ca="1">'Cashflow statement'!Y7</f>
        <v>227.12273552165971</v>
      </c>
      <c r="Z13">
        <f ca="1">'Cashflow statement'!Z7</f>
        <v>-260.37127105430136</v>
      </c>
      <c r="AA13">
        <f ca="1">'Cashflow statement'!AA7</f>
        <v>-271.24089389056462</v>
      </c>
    </row>
    <row r="14" spans="1:27" ht="15" customHeight="1" x14ac:dyDescent="0.45">
      <c r="A14" s="82"/>
      <c r="B14" t="s">
        <v>321</v>
      </c>
      <c r="F14">
        <f>'Cashflow statement'!F8</f>
        <v>0</v>
      </c>
      <c r="G14">
        <f>'Cashflow statement'!G8</f>
        <v>0</v>
      </c>
      <c r="H14">
        <f>'Cashflow statement'!H8</f>
        <v>4268.9398702080007</v>
      </c>
      <c r="I14">
        <f>'Cashflow statement'!I8</f>
        <v>319.15437750075671</v>
      </c>
      <c r="J14">
        <f>'Cashflow statement'!J8</f>
        <v>183.52376990835</v>
      </c>
      <c r="K14">
        <f>'Cashflow statement'!K8</f>
        <v>190.86472070468426</v>
      </c>
      <c r="L14">
        <f>'Cashflow statement'!L8</f>
        <v>198.49930953287185</v>
      </c>
      <c r="M14">
        <f>'Cashflow statement'!M8</f>
        <v>206.43928191418763</v>
      </c>
      <c r="N14">
        <f>'Cashflow statement'!N8</f>
        <v>214.69685319075415</v>
      </c>
      <c r="O14">
        <f>'Cashflow statement'!O8</f>
        <v>223.28472731838337</v>
      </c>
      <c r="P14">
        <f>'Cashflow statement'!P8</f>
        <v>232.21611641112031</v>
      </c>
      <c r="Q14">
        <f>'Cashflow statement'!Q8</f>
        <v>241.50476106756469</v>
      </c>
      <c r="R14">
        <f>'Cashflow statement'!R8</f>
        <v>251.1649515102672</v>
      </c>
      <c r="S14">
        <f>'Cashflow statement'!S8</f>
        <v>261.21154957067756</v>
      </c>
      <c r="T14">
        <f>'Cashflow statement'!T8</f>
        <v>271.66001155350477</v>
      </c>
      <c r="U14">
        <f>'Cashflow statement'!U8</f>
        <v>282.52641201564529</v>
      </c>
      <c r="V14">
        <f>'Cashflow statement'!V8</f>
        <v>293.82746849627165</v>
      </c>
      <c r="W14">
        <f>'Cashflow statement'!W8</f>
        <v>305.58056723612026</v>
      </c>
      <c r="X14">
        <f>'Cashflow statement'!X8</f>
        <v>317.8037899255678</v>
      </c>
      <c r="Y14">
        <f>'Cashflow statement'!Y8</f>
        <v>330.51594152258804</v>
      </c>
      <c r="Z14">
        <f>'Cashflow statement'!Z8</f>
        <v>343.73657918349272</v>
      </c>
      <c r="AA14">
        <f>'Cashflow statement'!AA8</f>
        <v>357.48604235083258</v>
      </c>
    </row>
    <row r="15" spans="1:27" ht="15" customHeight="1" x14ac:dyDescent="0.45">
      <c r="A15" s="82"/>
      <c r="B15" t="s">
        <v>154</v>
      </c>
      <c r="C15"/>
      <c r="D15"/>
      <c r="F15">
        <f ca="1">'Cashflow statement'!F13</f>
        <v>-44561.919999999998</v>
      </c>
      <c r="G15">
        <f ca="1">'Cashflow statement'!G13</f>
        <v>-193807.15509491996</v>
      </c>
      <c r="H15">
        <f ca="1">'Cashflow statement'!H13</f>
        <v>0</v>
      </c>
      <c r="I15">
        <f ca="1">'Cashflow statement'!I13</f>
        <v>0</v>
      </c>
      <c r="J15">
        <f ca="1">'Cashflow statement'!J13</f>
        <v>0</v>
      </c>
      <c r="K15">
        <f ca="1">'Cashflow statement'!K13</f>
        <v>0</v>
      </c>
      <c r="L15">
        <f ca="1">'Cashflow statement'!L13</f>
        <v>0</v>
      </c>
      <c r="M15">
        <f ca="1">'Cashflow statement'!M13</f>
        <v>0</v>
      </c>
      <c r="N15">
        <f ca="1">'Cashflow statement'!N13</f>
        <v>0</v>
      </c>
      <c r="O15">
        <f ca="1">'Cashflow statement'!O13</f>
        <v>0</v>
      </c>
      <c r="P15">
        <f ca="1">'Cashflow statement'!P13</f>
        <v>0</v>
      </c>
      <c r="Q15">
        <f ca="1">'Cashflow statement'!Q13</f>
        <v>0</v>
      </c>
      <c r="R15">
        <f ca="1">'Cashflow statement'!R13</f>
        <v>0</v>
      </c>
      <c r="S15">
        <f ca="1">'Cashflow statement'!S13</f>
        <v>0</v>
      </c>
      <c r="T15">
        <f ca="1">'Cashflow statement'!T13</f>
        <v>0</v>
      </c>
      <c r="U15">
        <f ca="1">'Cashflow statement'!U13</f>
        <v>0</v>
      </c>
      <c r="V15">
        <f ca="1">'Cashflow statement'!V13</f>
        <v>0</v>
      </c>
      <c r="W15">
        <f ca="1">'Cashflow statement'!W13</f>
        <v>0</v>
      </c>
      <c r="X15">
        <f ca="1">'Cashflow statement'!X13</f>
        <v>0</v>
      </c>
      <c r="Y15">
        <f ca="1">'Cashflow statement'!Y13</f>
        <v>0</v>
      </c>
      <c r="Z15">
        <f ca="1">'Cashflow statement'!Z13</f>
        <v>0</v>
      </c>
      <c r="AA15">
        <f ca="1">'Cashflow statement'!AA13</f>
        <v>0</v>
      </c>
    </row>
    <row r="16" spans="1:27" ht="15" customHeight="1" x14ac:dyDescent="0.45">
      <c r="A16" s="82"/>
      <c r="B16" t="s">
        <v>230</v>
      </c>
      <c r="C16"/>
      <c r="D16"/>
      <c r="F16">
        <f ca="1">SUM(F11:F15)</f>
        <v>-44561.919999999998</v>
      </c>
      <c r="G16">
        <f t="shared" ref="G16:K16" ca="1" si="6">SUM(G11:G15)</f>
        <v>-193810.73815585554</v>
      </c>
      <c r="H16">
        <f t="shared" ca="1" si="6"/>
        <v>17194.713247720298</v>
      </c>
      <c r="I16">
        <f t="shared" ca="1" si="6"/>
        <v>21258.105955543011</v>
      </c>
      <c r="J16">
        <f t="shared" ca="1" si="6"/>
        <v>27571.846987497018</v>
      </c>
      <c r="K16">
        <f t="shared" ca="1" si="6"/>
        <v>27259.41445704384</v>
      </c>
      <c r="L16">
        <f t="shared" ref="L16:AA16" ca="1" si="7">SUM(L11:L15)</f>
        <v>27436.780255580037</v>
      </c>
      <c r="M16">
        <f t="shared" ca="1" si="7"/>
        <v>27635.395879018881</v>
      </c>
      <c r="N16">
        <f t="shared" ca="1" si="7"/>
        <v>27856.11132035646</v>
      </c>
      <c r="O16">
        <f t="shared" ca="1" si="7"/>
        <v>28099.810572308754</v>
      </c>
      <c r="P16">
        <f t="shared" ca="1" si="7"/>
        <v>28367.412987300308</v>
      </c>
      <c r="Q16">
        <f t="shared" ca="1" si="7"/>
        <v>28659.874691852732</v>
      </c>
      <c r="R16">
        <f t="shared" ca="1" si="7"/>
        <v>28978.190057548447</v>
      </c>
      <c r="S16">
        <f t="shared" ca="1" si="7"/>
        <v>29323.393230833164</v>
      </c>
      <c r="T16">
        <f t="shared" ca="1" si="7"/>
        <v>29696.559724010469</v>
      </c>
      <c r="U16">
        <f t="shared" ca="1" si="7"/>
        <v>30098.808069876064</v>
      </c>
      <c r="V16">
        <f t="shared" ca="1" si="7"/>
        <v>30531.301542537465</v>
      </c>
      <c r="W16">
        <f t="shared" ca="1" si="7"/>
        <v>30995.249947066535</v>
      </c>
      <c r="X16">
        <f t="shared" ca="1" si="7"/>
        <v>31495.403715843495</v>
      </c>
      <c r="Y16">
        <f t="shared" ca="1" si="7"/>
        <v>27616.587303100183</v>
      </c>
      <c r="Z16">
        <f t="shared" ca="1" si="7"/>
        <v>28637.111771688826</v>
      </c>
      <c r="AA16">
        <f t="shared" ca="1" si="7"/>
        <v>29457.102616222182</v>
      </c>
    </row>
    <row r="17" spans="1:27" ht="15" customHeight="1" x14ac:dyDescent="0.45">
      <c r="A17" s="82"/>
      <c r="B17"/>
      <c r="C17"/>
      <c r="D17"/>
    </row>
    <row r="18" spans="1:27" ht="15" customHeight="1" x14ac:dyDescent="0.45">
      <c r="A18" s="82"/>
      <c r="B18" t="s">
        <v>184</v>
      </c>
      <c r="C18"/>
      <c r="D18"/>
      <c r="F18">
        <f>E53</f>
        <v>0</v>
      </c>
      <c r="G18">
        <f t="shared" ref="G18:K18" ca="1" si="8">F53</f>
        <v>0</v>
      </c>
      <c r="H18">
        <f t="shared" ca="1" si="8"/>
        <v>5761.5619843887825</v>
      </c>
      <c r="I18">
        <f t="shared" ca="1" si="8"/>
        <v>5793.8274481135759</v>
      </c>
      <c r="J18">
        <f t="shared" ca="1" si="8"/>
        <v>13384.234384774127</v>
      </c>
      <c r="K18">
        <f t="shared" ca="1" si="8"/>
        <v>13065.456939647185</v>
      </c>
      <c r="L18">
        <f t="shared" ref="L18" ca="1" si="9">K53</f>
        <v>12707.142531356352</v>
      </c>
      <c r="M18">
        <f t="shared" ref="M18" ca="1" si="10">L53</f>
        <v>12348.828123065525</v>
      </c>
      <c r="N18">
        <f t="shared" ref="N18" ca="1" si="11">M53</f>
        <v>11990.513714774692</v>
      </c>
      <c r="O18">
        <f t="shared" ref="O18" ca="1" si="12">N53</f>
        <v>11632.199306483863</v>
      </c>
      <c r="P18">
        <f t="shared" ref="P18" ca="1" si="13">O53</f>
        <v>11273.88489819303</v>
      </c>
      <c r="Q18">
        <f t="shared" ref="Q18" ca="1" si="14">P53</f>
        <v>10915.570489902197</v>
      </c>
      <c r="R18">
        <f t="shared" ref="R18" ca="1" si="15">Q53</f>
        <v>10557.256081611367</v>
      </c>
      <c r="S18">
        <f t="shared" ref="S18" ca="1" si="16">R53</f>
        <v>10198.941673320536</v>
      </c>
      <c r="T18">
        <f t="shared" ref="T18" ca="1" si="17">S53</f>
        <v>9840.6272650297069</v>
      </c>
      <c r="U18">
        <f t="shared" ref="U18" ca="1" si="18">T53</f>
        <v>9482.312856738874</v>
      </c>
      <c r="V18">
        <f t="shared" ref="V18" ca="1" si="19">U53</f>
        <v>9123.9984484480447</v>
      </c>
      <c r="W18">
        <f t="shared" ref="W18" ca="1" si="20">V53</f>
        <v>8765.6840401572117</v>
      </c>
      <c r="X18">
        <f t="shared" ref="X18" ca="1" si="21">W53</f>
        <v>8407.3696318663569</v>
      </c>
      <c r="Y18">
        <f t="shared" ref="Y18" ca="1" si="22">X53</f>
        <v>2433.5411738394205</v>
      </c>
      <c r="Z18">
        <f t="shared" ref="Z18" ca="1" si="23">Y53</f>
        <v>2264.8113453463038</v>
      </c>
      <c r="AA18">
        <f t="shared" ref="AA18" ca="1" si="24">Z53</f>
        <v>2125.1015989943689</v>
      </c>
    </row>
    <row r="19" spans="1:27" ht="15" customHeight="1" x14ac:dyDescent="0.45">
      <c r="A19" s="82"/>
      <c r="B19" t="s">
        <v>226</v>
      </c>
      <c r="C19"/>
      <c r="D19"/>
      <c r="F19">
        <f ca="1">F16+F18</f>
        <v>-44561.919999999998</v>
      </c>
      <c r="G19">
        <f t="shared" ref="G19:K19" ca="1" si="25">G16+G18</f>
        <v>-193810.73815585554</v>
      </c>
      <c r="H19">
        <f t="shared" ca="1" si="25"/>
        <v>22956.275232109081</v>
      </c>
      <c r="I19">
        <f t="shared" ca="1" si="25"/>
        <v>27051.933403656585</v>
      </c>
      <c r="J19">
        <f t="shared" ca="1" si="25"/>
        <v>40956.081372271146</v>
      </c>
      <c r="K19">
        <f t="shared" ca="1" si="25"/>
        <v>40324.871396691029</v>
      </c>
      <c r="L19">
        <f t="shared" ref="L19:AA19" ca="1" si="26">L16+L18</f>
        <v>40143.922786936389</v>
      </c>
      <c r="M19">
        <f t="shared" ca="1" si="26"/>
        <v>39984.224002084404</v>
      </c>
      <c r="N19">
        <f t="shared" ca="1" si="26"/>
        <v>39846.625035131154</v>
      </c>
      <c r="O19">
        <f t="shared" ca="1" si="26"/>
        <v>39732.009878792618</v>
      </c>
      <c r="P19">
        <f t="shared" ca="1" si="26"/>
        <v>39641.297885493339</v>
      </c>
      <c r="Q19">
        <f t="shared" ca="1" si="26"/>
        <v>39575.445181754927</v>
      </c>
      <c r="R19">
        <f t="shared" ca="1" si="26"/>
        <v>39535.446139159816</v>
      </c>
      <c r="S19">
        <f t="shared" ca="1" si="26"/>
        <v>39522.3349041537</v>
      </c>
      <c r="T19">
        <f t="shared" ca="1" si="26"/>
        <v>39537.186989040172</v>
      </c>
      <c r="U19">
        <f t="shared" ca="1" si="26"/>
        <v>39581.120926614938</v>
      </c>
      <c r="V19">
        <f t="shared" ca="1" si="26"/>
        <v>39655.299990985513</v>
      </c>
      <c r="W19">
        <f t="shared" ca="1" si="26"/>
        <v>39760.933987223747</v>
      </c>
      <c r="X19">
        <f t="shared" ca="1" si="26"/>
        <v>39902.773347709852</v>
      </c>
      <c r="Y19">
        <f t="shared" ca="1" si="26"/>
        <v>30050.128476939604</v>
      </c>
      <c r="Z19">
        <f t="shared" ca="1" si="26"/>
        <v>30901.92311703513</v>
      </c>
      <c r="AA19">
        <f t="shared" ca="1" si="26"/>
        <v>31582.204215216552</v>
      </c>
    </row>
    <row r="20" spans="1:27" ht="15" customHeight="1" x14ac:dyDescent="0.45">
      <c r="A20" s="82"/>
      <c r="B20"/>
      <c r="C20"/>
      <c r="D20"/>
    </row>
    <row r="21" spans="1:27" ht="15" customHeight="1" x14ac:dyDescent="0.45">
      <c r="A21" s="82"/>
      <c r="B21" t="s">
        <v>185</v>
      </c>
      <c r="C21"/>
      <c r="D21"/>
      <c r="F21">
        <f>E24</f>
        <v>0</v>
      </c>
      <c r="G21">
        <f t="shared" ref="G21:K21" ca="1" si="27">F24</f>
        <v>0</v>
      </c>
      <c r="H21">
        <f t="shared" ca="1" si="27"/>
        <v>85436.944478465928</v>
      </c>
      <c r="I21">
        <f t="shared" ca="1" si="27"/>
        <v>85436.944478465928</v>
      </c>
      <c r="J21">
        <f t="shared" ca="1" si="27"/>
        <v>85436.944478465928</v>
      </c>
      <c r="K21">
        <f t="shared" ca="1" si="27"/>
        <v>79741.148179901531</v>
      </c>
      <c r="L21">
        <f t="shared" ref="L21" ca="1" si="28">K24</f>
        <v>74045.351881337134</v>
      </c>
      <c r="M21">
        <f t="shared" ref="M21" ca="1" si="29">L24</f>
        <v>68349.555582772737</v>
      </c>
      <c r="N21">
        <f t="shared" ref="N21" ca="1" si="30">M24</f>
        <v>62653.75928420834</v>
      </c>
      <c r="O21">
        <f t="shared" ref="O21" ca="1" si="31">N24</f>
        <v>56957.962985643942</v>
      </c>
      <c r="P21">
        <f t="shared" ref="P21" ca="1" si="32">O24</f>
        <v>51262.166687079545</v>
      </c>
      <c r="Q21">
        <f t="shared" ref="Q21" ca="1" si="33">P24</f>
        <v>45566.370388515148</v>
      </c>
      <c r="R21">
        <f t="shared" ref="R21" ca="1" si="34">Q24</f>
        <v>39870.574089950751</v>
      </c>
      <c r="S21">
        <f t="shared" ref="S21" ca="1" si="35">R24</f>
        <v>34174.777791386354</v>
      </c>
      <c r="T21">
        <f t="shared" ref="T21" ca="1" si="36">S24</f>
        <v>28478.981492821957</v>
      </c>
      <c r="U21">
        <f t="shared" ref="U21" ca="1" si="37">T24</f>
        <v>22783.185194257559</v>
      </c>
      <c r="V21">
        <f t="shared" ref="V21" ca="1" si="38">U24</f>
        <v>17087.388895693162</v>
      </c>
      <c r="W21">
        <f t="shared" ref="W21" ca="1" si="39">V24</f>
        <v>11391.592597128767</v>
      </c>
      <c r="X21">
        <f t="shared" ref="X21" ca="1" si="40">W24</f>
        <v>5695.7962985643717</v>
      </c>
      <c r="Y21">
        <f t="shared" ref="Y21" ca="1" si="41">X24</f>
        <v>0</v>
      </c>
      <c r="Z21">
        <f t="shared" ref="Z21" ca="1" si="42">Y24</f>
        <v>0</v>
      </c>
      <c r="AA21">
        <f t="shared" ref="AA21" ca="1" si="43">Z24</f>
        <v>0</v>
      </c>
    </row>
    <row r="22" spans="1:27" ht="15" customHeight="1" x14ac:dyDescent="0.45">
      <c r="A22" s="82"/>
      <c r="B22" t="s">
        <v>186</v>
      </c>
      <c r="C22" t="s">
        <v>190</v>
      </c>
      <c r="D22">
        <f ca="1">SUM(F22:AA22)</f>
        <v>85436.944478465928</v>
      </c>
      <c r="F22">
        <f ca="1">'Sources and Uses'!F66</f>
        <v>0</v>
      </c>
      <c r="G22">
        <f ca="1">'Sources and Uses'!G66</f>
        <v>85436.944478465928</v>
      </c>
      <c r="H22">
        <f ca="1">'Sources and Uses'!H66</f>
        <v>0</v>
      </c>
      <c r="I22">
        <f ca="1">'Sources and Uses'!I66</f>
        <v>0</v>
      </c>
      <c r="J22">
        <f ca="1">'Sources and Uses'!J66</f>
        <v>0</v>
      </c>
      <c r="K22">
        <f ca="1">'Sources and Uses'!K66</f>
        <v>0</v>
      </c>
      <c r="L22">
        <f ca="1">'Sources and Uses'!L66</f>
        <v>0</v>
      </c>
      <c r="M22">
        <f ca="1">'Sources and Uses'!M66</f>
        <v>0</v>
      </c>
      <c r="N22">
        <f ca="1">'Sources and Uses'!N66</f>
        <v>0</v>
      </c>
      <c r="O22">
        <f ca="1">'Sources and Uses'!O66</f>
        <v>0</v>
      </c>
      <c r="P22">
        <f ca="1">'Sources and Uses'!P66</f>
        <v>0</v>
      </c>
      <c r="Q22">
        <f ca="1">'Sources and Uses'!Q66</f>
        <v>0</v>
      </c>
      <c r="R22">
        <f ca="1">'Sources and Uses'!R66</f>
        <v>0</v>
      </c>
      <c r="S22">
        <f ca="1">'Sources and Uses'!S66</f>
        <v>0</v>
      </c>
      <c r="T22">
        <f ca="1">'Sources and Uses'!T66</f>
        <v>0</v>
      </c>
      <c r="U22">
        <f ca="1">'Sources and Uses'!U66</f>
        <v>0</v>
      </c>
      <c r="V22">
        <f ca="1">'Sources and Uses'!V66</f>
        <v>0</v>
      </c>
      <c r="W22">
        <f ca="1">'Sources and Uses'!W66</f>
        <v>0</v>
      </c>
      <c r="X22">
        <f ca="1">'Sources and Uses'!X66</f>
        <v>0</v>
      </c>
      <c r="Y22">
        <f ca="1">'Sources and Uses'!Y66</f>
        <v>0</v>
      </c>
      <c r="Z22">
        <f ca="1">'Sources and Uses'!Z66</f>
        <v>0</v>
      </c>
      <c r="AA22">
        <f ca="1">'Sources and Uses'!AA66</f>
        <v>0</v>
      </c>
    </row>
    <row r="23" spans="1:27" ht="15" customHeight="1" x14ac:dyDescent="0.45">
      <c r="A23" s="82"/>
      <c r="B23" t="s">
        <v>187</v>
      </c>
      <c r="C23" t="str">
        <f>'Assumptions and Outputs'!C69</f>
        <v>Years</v>
      </c>
      <c r="D23">
        <f>'Assumptions and Outputs'!D69</f>
        <v>15</v>
      </c>
      <c r="F23">
        <f ca="1">MIN($D$22/$D$23,F21)*(1-F6)*-1</f>
        <v>0</v>
      </c>
      <c r="G23">
        <f t="shared" ref="G23:K23" ca="1" si="44">MIN($D$22/$D$23,G21)*(1-G6)*-1</f>
        <v>0</v>
      </c>
      <c r="H23">
        <f t="shared" ca="1" si="44"/>
        <v>0</v>
      </c>
      <c r="I23">
        <f t="shared" ca="1" si="44"/>
        <v>0</v>
      </c>
      <c r="J23">
        <f t="shared" ca="1" si="44"/>
        <v>-5695.7962985643953</v>
      </c>
      <c r="K23">
        <f t="shared" ca="1" si="44"/>
        <v>-5695.7962985643953</v>
      </c>
      <c r="L23">
        <f t="shared" ref="L23:AA23" ca="1" si="45">MIN($D$22/$D$23,L21)*(1-L6)*-1</f>
        <v>-5695.7962985643953</v>
      </c>
      <c r="M23">
        <f t="shared" ca="1" si="45"/>
        <v>-5695.7962985643953</v>
      </c>
      <c r="N23">
        <f t="shared" ca="1" si="45"/>
        <v>-5695.7962985643953</v>
      </c>
      <c r="O23">
        <f t="shared" ca="1" si="45"/>
        <v>-5695.7962985643953</v>
      </c>
      <c r="P23">
        <f t="shared" ca="1" si="45"/>
        <v>-5695.7962985643953</v>
      </c>
      <c r="Q23">
        <f t="shared" ca="1" si="45"/>
        <v>-5695.7962985643953</v>
      </c>
      <c r="R23">
        <f t="shared" ca="1" si="45"/>
        <v>-5695.7962985643953</v>
      </c>
      <c r="S23">
        <f t="shared" ca="1" si="45"/>
        <v>-5695.7962985643953</v>
      </c>
      <c r="T23">
        <f t="shared" ca="1" si="45"/>
        <v>-5695.7962985643953</v>
      </c>
      <c r="U23">
        <f t="shared" ca="1" si="45"/>
        <v>-5695.7962985643953</v>
      </c>
      <c r="V23">
        <f t="shared" ca="1" si="45"/>
        <v>-5695.7962985643953</v>
      </c>
      <c r="W23">
        <f t="shared" ca="1" si="45"/>
        <v>-5695.7962985643953</v>
      </c>
      <c r="X23">
        <f t="shared" ca="1" si="45"/>
        <v>-5695.7962985643717</v>
      </c>
      <c r="Y23">
        <f t="shared" ca="1" si="45"/>
        <v>0</v>
      </c>
      <c r="Z23">
        <f t="shared" ca="1" si="45"/>
        <v>0</v>
      </c>
      <c r="AA23">
        <f t="shared" ca="1" si="45"/>
        <v>0</v>
      </c>
    </row>
    <row r="24" spans="1:27" ht="15" customHeight="1" x14ac:dyDescent="0.45">
      <c r="A24" s="82"/>
      <c r="B24" t="s">
        <v>188</v>
      </c>
      <c r="E24" s="83">
        <v>0</v>
      </c>
      <c r="F24">
        <f ca="1">SUM(F21:F23)</f>
        <v>0</v>
      </c>
      <c r="G24">
        <f t="shared" ref="G24:K24" ca="1" si="46">SUM(G21:G23)</f>
        <v>85436.944478465928</v>
      </c>
      <c r="H24">
        <f t="shared" ca="1" si="46"/>
        <v>85436.944478465928</v>
      </c>
      <c r="I24">
        <f t="shared" ca="1" si="46"/>
        <v>85436.944478465928</v>
      </c>
      <c r="J24">
        <f t="shared" ca="1" si="46"/>
        <v>79741.148179901531</v>
      </c>
      <c r="K24">
        <f t="shared" ca="1" si="46"/>
        <v>74045.351881337134</v>
      </c>
      <c r="L24">
        <f t="shared" ref="L24:AA24" ca="1" si="47">SUM(L21:L23)</f>
        <v>68349.555582772737</v>
      </c>
      <c r="M24">
        <f t="shared" ca="1" si="47"/>
        <v>62653.75928420834</v>
      </c>
      <c r="N24">
        <f t="shared" ca="1" si="47"/>
        <v>56957.962985643942</v>
      </c>
      <c r="O24">
        <f t="shared" ca="1" si="47"/>
        <v>51262.166687079545</v>
      </c>
      <c r="P24">
        <f t="shared" ca="1" si="47"/>
        <v>45566.370388515148</v>
      </c>
      <c r="Q24">
        <f t="shared" ca="1" si="47"/>
        <v>39870.574089950751</v>
      </c>
      <c r="R24">
        <f t="shared" ca="1" si="47"/>
        <v>34174.777791386354</v>
      </c>
      <c r="S24">
        <f t="shared" ca="1" si="47"/>
        <v>28478.981492821957</v>
      </c>
      <c r="T24">
        <f t="shared" ca="1" si="47"/>
        <v>22783.185194257559</v>
      </c>
      <c r="U24">
        <f t="shared" ca="1" si="47"/>
        <v>17087.388895693162</v>
      </c>
      <c r="V24">
        <f t="shared" ca="1" si="47"/>
        <v>11391.592597128767</v>
      </c>
      <c r="W24">
        <f t="shared" ca="1" si="47"/>
        <v>5695.7962985643717</v>
      </c>
      <c r="X24">
        <f t="shared" ca="1" si="47"/>
        <v>0</v>
      </c>
      <c r="Y24">
        <f t="shared" ca="1" si="47"/>
        <v>0</v>
      </c>
      <c r="Z24">
        <f t="shared" ca="1" si="47"/>
        <v>0</v>
      </c>
      <c r="AA24">
        <f t="shared" ca="1" si="47"/>
        <v>0</v>
      </c>
    </row>
    <row r="25" spans="1:27" ht="15" customHeight="1" x14ac:dyDescent="0.45">
      <c r="A25" s="82"/>
      <c r="B25" t="s">
        <v>189</v>
      </c>
      <c r="C25" t="str">
        <f>'Sources and Uses'!C72</f>
        <v>Int rate</v>
      </c>
      <c r="D25" s="91">
        <f>'Sources and Uses'!D72</f>
        <v>3.7999999999999999E-2</v>
      </c>
      <c r="F25">
        <f ca="1">$D$25*AVERAGE(E24,F24)*(1-F7)*-1</f>
        <v>0</v>
      </c>
      <c r="G25">
        <f ca="1">$D$25*AVERAGE(F24,G24)*(1-G7)*-1</f>
        <v>0</v>
      </c>
      <c r="H25">
        <f t="shared" ref="H25:K25" ca="1" si="48">$D$25*AVERAGE(G24,H24)*(1-H7)*-1</f>
        <v>-3246.6038901817051</v>
      </c>
      <c r="I25">
        <f t="shared" ca="1" si="48"/>
        <v>-3246.6038901817051</v>
      </c>
      <c r="J25">
        <f t="shared" ca="1" si="48"/>
        <v>-3138.383760508982</v>
      </c>
      <c r="K25">
        <f t="shared" ca="1" si="48"/>
        <v>-2921.9435011635342</v>
      </c>
      <c r="L25">
        <f t="shared" ref="L25" ca="1" si="49">$D$25*AVERAGE(K24,L24)*(1-L7)*-1</f>
        <v>-2705.5032418180876</v>
      </c>
      <c r="M25">
        <f t="shared" ref="M25" ca="1" si="50">$D$25*AVERAGE(L24,M24)*(1-M7)*-1</f>
        <v>-2489.0629824726402</v>
      </c>
      <c r="N25">
        <f t="shared" ref="N25" ca="1" si="51">$D$25*AVERAGE(M24,N24)*(1-N7)*-1</f>
        <v>-2272.6227231271932</v>
      </c>
      <c r="O25">
        <f t="shared" ref="O25" ca="1" si="52">$D$25*AVERAGE(N24,O24)*(1-O7)*-1</f>
        <v>-2056.1824637817463</v>
      </c>
      <c r="P25">
        <f t="shared" ref="P25" ca="1" si="53">$D$25*AVERAGE(O24,P24)*(1-P7)*-1</f>
        <v>-1839.7422044362991</v>
      </c>
      <c r="Q25">
        <f t="shared" ref="Q25" ca="1" si="54">$D$25*AVERAGE(P24,Q24)*(1-Q7)*-1</f>
        <v>-1623.3019450908521</v>
      </c>
      <c r="R25">
        <f t="shared" ref="R25" ca="1" si="55">$D$25*AVERAGE(Q24,R24)*(1-R7)*-1</f>
        <v>-1406.8616857454049</v>
      </c>
      <c r="S25">
        <f t="shared" ref="S25" ca="1" si="56">$D$25*AVERAGE(R24,S24)*(1-S7)*-1</f>
        <v>-1190.4214263999579</v>
      </c>
      <c r="T25">
        <f t="shared" ref="T25" ca="1" si="57">$D$25*AVERAGE(S24,T24)*(1-T7)*-1</f>
        <v>-973.98116705451082</v>
      </c>
      <c r="U25">
        <f t="shared" ref="U25" ca="1" si="58">$D$25*AVERAGE(T24,U24)*(1-U7)*-1</f>
        <v>-757.54090770906373</v>
      </c>
      <c r="V25">
        <f t="shared" ref="V25" ca="1" si="59">$D$25*AVERAGE(U24,V24)*(1-V7)*-1</f>
        <v>-541.10064836361664</v>
      </c>
      <c r="W25">
        <f t="shared" ref="W25" ca="1" si="60">$D$25*AVERAGE(V24,W24)*(1-W7)*-1</f>
        <v>-324.66038901816967</v>
      </c>
      <c r="X25">
        <f t="shared" ref="X25" ca="1" si="61">$D$25*AVERAGE(W24,X24)*(1-X7)*-1</f>
        <v>-108.22012967272306</v>
      </c>
      <c r="Y25">
        <f t="shared" ref="Y25" ca="1" si="62">$D$25*AVERAGE(X24,Y24)*(1-Y7)*-1</f>
        <v>0</v>
      </c>
      <c r="Z25">
        <f t="shared" ref="Z25" ca="1" si="63">$D$25*AVERAGE(Y24,Z24)*(1-Z7)*-1</f>
        <v>0</v>
      </c>
      <c r="AA25">
        <f t="shared" ref="AA25" ca="1" si="64">$D$25*AVERAGE(Z24,AA24)*(1-AA7)*-1</f>
        <v>0</v>
      </c>
    </row>
    <row r="26" spans="1:27" ht="15" customHeight="1" x14ac:dyDescent="0.45">
      <c r="A26" s="82"/>
      <c r="B26"/>
      <c r="C26"/>
      <c r="D26"/>
    </row>
    <row r="27" spans="1:27" ht="15" customHeight="1" x14ac:dyDescent="0.45">
      <c r="A27" s="82"/>
      <c r="B27" t="s">
        <v>227</v>
      </c>
      <c r="C27"/>
      <c r="D27"/>
      <c r="F27">
        <f ca="1">F19+F22+F23+F25</f>
        <v>-44561.919999999998</v>
      </c>
      <c r="G27">
        <f t="shared" ref="G27:K27" ca="1" si="65">G19+G22+G23+G25</f>
        <v>-108373.79367738961</v>
      </c>
      <c r="H27">
        <f t="shared" ca="1" si="65"/>
        <v>19709.671341927376</v>
      </c>
      <c r="I27">
        <f t="shared" ca="1" si="65"/>
        <v>23805.329513474881</v>
      </c>
      <c r="J27">
        <f t="shared" ca="1" si="65"/>
        <v>32121.901313197766</v>
      </c>
      <c r="K27">
        <f t="shared" ca="1" si="65"/>
        <v>31707.131596963096</v>
      </c>
      <c r="L27">
        <f t="shared" ref="L27:AA27" ca="1" si="66">L19+L22+L23+L25</f>
        <v>31742.623246553903</v>
      </c>
      <c r="M27">
        <f t="shared" ca="1" si="66"/>
        <v>31799.364721047365</v>
      </c>
      <c r="N27">
        <f t="shared" ca="1" si="66"/>
        <v>31878.206013439565</v>
      </c>
      <c r="O27">
        <f t="shared" ca="1" si="66"/>
        <v>31980.031116446473</v>
      </c>
      <c r="P27">
        <f t="shared" ca="1" si="66"/>
        <v>32105.759382492644</v>
      </c>
      <c r="Q27">
        <f t="shared" ca="1" si="66"/>
        <v>32256.346938099679</v>
      </c>
      <c r="R27">
        <f t="shared" ca="1" si="66"/>
        <v>32432.788154850015</v>
      </c>
      <c r="S27">
        <f t="shared" ca="1" si="66"/>
        <v>32636.117179189347</v>
      </c>
      <c r="T27">
        <f t="shared" ca="1" si="66"/>
        <v>32867.409523421265</v>
      </c>
      <c r="U27">
        <f t="shared" ca="1" si="66"/>
        <v>33127.783720341475</v>
      </c>
      <c r="V27">
        <f t="shared" ca="1" si="66"/>
        <v>33418.403044057501</v>
      </c>
      <c r="W27">
        <f t="shared" ca="1" si="66"/>
        <v>33740.477299641178</v>
      </c>
      <c r="X27">
        <f t="shared" ca="1" si="66"/>
        <v>34098.756919472762</v>
      </c>
      <c r="Y27">
        <f t="shared" ca="1" si="66"/>
        <v>30050.128476939604</v>
      </c>
      <c r="Z27">
        <f t="shared" ca="1" si="66"/>
        <v>30901.92311703513</v>
      </c>
      <c r="AA27">
        <f t="shared" ca="1" si="66"/>
        <v>31582.204215216552</v>
      </c>
    </row>
    <row r="28" spans="1:27" ht="15" customHeight="1" x14ac:dyDescent="0.45">
      <c r="A28" s="82"/>
      <c r="B28"/>
      <c r="C28"/>
      <c r="D28"/>
    </row>
    <row r="29" spans="1:27" ht="15" customHeight="1" x14ac:dyDescent="0.45">
      <c r="A29" s="82"/>
      <c r="B29" t="s">
        <v>191</v>
      </c>
      <c r="C29"/>
      <c r="D29"/>
      <c r="F29">
        <f>E32</f>
        <v>0</v>
      </c>
      <c r="G29">
        <f t="shared" ref="G29:K29" ca="1" si="67">F32</f>
        <v>0</v>
      </c>
      <c r="H29">
        <f t="shared" ca="1" si="67"/>
        <v>36615.833347913976</v>
      </c>
      <c r="I29">
        <f t="shared" ca="1" si="67"/>
        <v>36615.833347913976</v>
      </c>
      <c r="J29">
        <f t="shared" ca="1" si="67"/>
        <v>36615.833347913976</v>
      </c>
      <c r="K29">
        <f t="shared" ca="1" si="67"/>
        <v>34581.620384140981</v>
      </c>
      <c r="L29">
        <f t="shared" ref="L29" ca="1" si="68">K32</f>
        <v>32547.407420367981</v>
      </c>
      <c r="M29">
        <f t="shared" ref="M29" ca="1" si="69">L32</f>
        <v>30513.194456594982</v>
      </c>
      <c r="N29">
        <f t="shared" ref="N29" ca="1" si="70">M32</f>
        <v>28478.981492821982</v>
      </c>
      <c r="O29">
        <f t="shared" ref="O29" ca="1" si="71">N32</f>
        <v>26444.768529048983</v>
      </c>
      <c r="P29">
        <f t="shared" ref="P29" ca="1" si="72">O32</f>
        <v>24410.555565275983</v>
      </c>
      <c r="Q29">
        <f t="shared" ref="Q29" ca="1" si="73">P32</f>
        <v>22376.342601502984</v>
      </c>
      <c r="R29">
        <f t="shared" ref="R29" ca="1" si="74">Q32</f>
        <v>20342.129637729984</v>
      </c>
      <c r="S29">
        <f t="shared" ref="S29" ca="1" si="75">R32</f>
        <v>18307.916673956985</v>
      </c>
      <c r="T29">
        <f t="shared" ref="T29" ca="1" si="76">S32</f>
        <v>16273.703710183985</v>
      </c>
      <c r="U29">
        <f t="shared" ref="U29" ca="1" si="77">T32</f>
        <v>14239.490746410986</v>
      </c>
      <c r="V29">
        <f t="shared" ref="V29" ca="1" si="78">U32</f>
        <v>12205.277782637986</v>
      </c>
      <c r="W29">
        <f t="shared" ref="W29" ca="1" si="79">V32</f>
        <v>10171.064818864987</v>
      </c>
      <c r="X29">
        <f t="shared" ref="X29" ca="1" si="80">W32</f>
        <v>8136.851855091988</v>
      </c>
      <c r="Y29">
        <f t="shared" ref="Y29" ca="1" si="81">X32</f>
        <v>6102.6388913189894</v>
      </c>
      <c r="Z29">
        <f t="shared" ref="Z29" ca="1" si="82">Y32</f>
        <v>4068.4259275459908</v>
      </c>
      <c r="AA29">
        <f t="shared" ref="AA29" ca="1" si="83">Z32</f>
        <v>2034.2129637729922</v>
      </c>
    </row>
    <row r="30" spans="1:27" ht="15" customHeight="1" x14ac:dyDescent="0.45">
      <c r="A30" s="82"/>
      <c r="B30" t="s">
        <v>186</v>
      </c>
      <c r="C30" t="s">
        <v>190</v>
      </c>
      <c r="D30">
        <f ca="1">SUM(F30:AA30)</f>
        <v>36615.833347913976</v>
      </c>
      <c r="F30">
        <f ca="1">'Sources and Uses'!F67</f>
        <v>0</v>
      </c>
      <c r="G30">
        <f ca="1">'Sources and Uses'!G67</f>
        <v>36615.833347913976</v>
      </c>
      <c r="H30">
        <f ca="1">'Sources and Uses'!H67</f>
        <v>0</v>
      </c>
      <c r="I30">
        <f ca="1">'Sources and Uses'!I67</f>
        <v>0</v>
      </c>
      <c r="J30">
        <f ca="1">'Sources and Uses'!J67</f>
        <v>0</v>
      </c>
      <c r="K30">
        <f ca="1">'Sources and Uses'!K67</f>
        <v>0</v>
      </c>
      <c r="L30">
        <f ca="1">'Sources and Uses'!L67</f>
        <v>0</v>
      </c>
      <c r="M30">
        <f ca="1">'Sources and Uses'!M67</f>
        <v>0</v>
      </c>
      <c r="N30">
        <f ca="1">'Sources and Uses'!N67</f>
        <v>0</v>
      </c>
      <c r="O30">
        <f ca="1">'Sources and Uses'!O67</f>
        <v>0</v>
      </c>
      <c r="P30">
        <f ca="1">'Sources and Uses'!P67</f>
        <v>0</v>
      </c>
      <c r="Q30">
        <f ca="1">'Sources and Uses'!Q67</f>
        <v>0</v>
      </c>
      <c r="R30">
        <f ca="1">'Sources and Uses'!R67</f>
        <v>0</v>
      </c>
      <c r="S30">
        <f ca="1">'Sources and Uses'!S67</f>
        <v>0</v>
      </c>
      <c r="T30">
        <f ca="1">'Sources and Uses'!T67</f>
        <v>0</v>
      </c>
      <c r="U30">
        <f ca="1">'Sources and Uses'!U67</f>
        <v>0</v>
      </c>
      <c r="V30">
        <f ca="1">'Sources and Uses'!V67</f>
        <v>0</v>
      </c>
      <c r="W30">
        <f ca="1">'Sources and Uses'!W67</f>
        <v>0</v>
      </c>
      <c r="X30">
        <f ca="1">'Sources and Uses'!X67</f>
        <v>0</v>
      </c>
      <c r="Y30">
        <f ca="1">'Sources and Uses'!Y67</f>
        <v>0</v>
      </c>
      <c r="Z30">
        <f ca="1">'Sources and Uses'!Z67</f>
        <v>0</v>
      </c>
      <c r="AA30">
        <f ca="1">'Sources and Uses'!AA67</f>
        <v>0</v>
      </c>
    </row>
    <row r="31" spans="1:27" ht="15" customHeight="1" x14ac:dyDescent="0.45">
      <c r="A31" s="82"/>
      <c r="B31" t="s">
        <v>187</v>
      </c>
      <c r="C31" t="str">
        <f>'Assumptions and Outputs'!C70</f>
        <v>Years</v>
      </c>
      <c r="D31">
        <f>'Assumptions and Outputs'!D70</f>
        <v>18</v>
      </c>
      <c r="F31">
        <f ca="1">MIN($D$30/$D$31,F29)*(1-F6)*-1</f>
        <v>0</v>
      </c>
      <c r="G31">
        <f t="shared" ref="G31:K31" ca="1" si="84">MIN($D$30/$D$31,G29)*(1-G6)*-1</f>
        <v>0</v>
      </c>
      <c r="H31">
        <f t="shared" ca="1" si="84"/>
        <v>0</v>
      </c>
      <c r="I31">
        <f t="shared" ca="1" si="84"/>
        <v>0</v>
      </c>
      <c r="J31">
        <f t="shared" ca="1" si="84"/>
        <v>-2034.2129637729986</v>
      </c>
      <c r="K31">
        <f t="shared" ca="1" si="84"/>
        <v>-2034.2129637729986</v>
      </c>
      <c r="L31">
        <f t="shared" ref="L31:AA31" ca="1" si="85">MIN($D$30/$D$31,L29)*(1-L6)*-1</f>
        <v>-2034.2129637729986</v>
      </c>
      <c r="M31">
        <f t="shared" ca="1" si="85"/>
        <v>-2034.2129637729986</v>
      </c>
      <c r="N31">
        <f t="shared" ca="1" si="85"/>
        <v>-2034.2129637729986</v>
      </c>
      <c r="O31">
        <f t="shared" ca="1" si="85"/>
        <v>-2034.2129637729986</v>
      </c>
      <c r="P31">
        <f t="shared" ca="1" si="85"/>
        <v>-2034.2129637729986</v>
      </c>
      <c r="Q31">
        <f t="shared" ca="1" si="85"/>
        <v>-2034.2129637729986</v>
      </c>
      <c r="R31">
        <f t="shared" ca="1" si="85"/>
        <v>-2034.2129637729986</v>
      </c>
      <c r="S31">
        <f t="shared" ca="1" si="85"/>
        <v>-2034.2129637729986</v>
      </c>
      <c r="T31">
        <f t="shared" ca="1" si="85"/>
        <v>-2034.2129637729986</v>
      </c>
      <c r="U31">
        <f t="shared" ca="1" si="85"/>
        <v>-2034.2129637729986</v>
      </c>
      <c r="V31">
        <f t="shared" ca="1" si="85"/>
        <v>-2034.2129637729986</v>
      </c>
      <c r="W31">
        <f t="shared" ca="1" si="85"/>
        <v>-2034.2129637729986</v>
      </c>
      <c r="X31">
        <f t="shared" ca="1" si="85"/>
        <v>-2034.2129637729986</v>
      </c>
      <c r="Y31">
        <f t="shared" ca="1" si="85"/>
        <v>-2034.2129637729986</v>
      </c>
      <c r="Z31">
        <f t="shared" ca="1" si="85"/>
        <v>-2034.2129637729986</v>
      </c>
      <c r="AA31">
        <f t="shared" ca="1" si="85"/>
        <v>-2034.2129637729922</v>
      </c>
    </row>
    <row r="32" spans="1:27" ht="15" customHeight="1" x14ac:dyDescent="0.45">
      <c r="A32" s="82"/>
      <c r="B32" t="s">
        <v>192</v>
      </c>
      <c r="E32" s="83">
        <v>0</v>
      </c>
      <c r="F32">
        <f ca="1">SUM(F29:F31)</f>
        <v>0</v>
      </c>
      <c r="G32">
        <f t="shared" ref="G32:K32" ca="1" si="86">SUM(G29:G31)</f>
        <v>36615.833347913976</v>
      </c>
      <c r="H32">
        <f t="shared" ca="1" si="86"/>
        <v>36615.833347913976</v>
      </c>
      <c r="I32">
        <f t="shared" ca="1" si="86"/>
        <v>36615.833347913976</v>
      </c>
      <c r="J32">
        <f t="shared" ca="1" si="86"/>
        <v>34581.620384140981</v>
      </c>
      <c r="K32">
        <f t="shared" ca="1" si="86"/>
        <v>32547.407420367981</v>
      </c>
      <c r="L32">
        <f t="shared" ref="L32:AA32" ca="1" si="87">SUM(L29:L31)</f>
        <v>30513.194456594982</v>
      </c>
      <c r="M32">
        <f t="shared" ca="1" si="87"/>
        <v>28478.981492821982</v>
      </c>
      <c r="N32">
        <f t="shared" ca="1" si="87"/>
        <v>26444.768529048983</v>
      </c>
      <c r="O32">
        <f t="shared" ca="1" si="87"/>
        <v>24410.555565275983</v>
      </c>
      <c r="P32">
        <f t="shared" ca="1" si="87"/>
        <v>22376.342601502984</v>
      </c>
      <c r="Q32">
        <f t="shared" ca="1" si="87"/>
        <v>20342.129637729984</v>
      </c>
      <c r="R32">
        <f t="shared" ca="1" si="87"/>
        <v>18307.916673956985</v>
      </c>
      <c r="S32">
        <f t="shared" ca="1" si="87"/>
        <v>16273.703710183985</v>
      </c>
      <c r="T32">
        <f t="shared" ca="1" si="87"/>
        <v>14239.490746410986</v>
      </c>
      <c r="U32">
        <f t="shared" ca="1" si="87"/>
        <v>12205.277782637986</v>
      </c>
      <c r="V32">
        <f t="shared" ca="1" si="87"/>
        <v>10171.064818864987</v>
      </c>
      <c r="W32">
        <f t="shared" ca="1" si="87"/>
        <v>8136.851855091988</v>
      </c>
      <c r="X32">
        <f t="shared" ca="1" si="87"/>
        <v>6102.6388913189894</v>
      </c>
      <c r="Y32">
        <f t="shared" ca="1" si="87"/>
        <v>4068.4259275459908</v>
      </c>
      <c r="Z32">
        <f t="shared" ca="1" si="87"/>
        <v>2034.2129637729922</v>
      </c>
      <c r="AA32">
        <f t="shared" ca="1" si="87"/>
        <v>0</v>
      </c>
    </row>
    <row r="33" spans="1:27" ht="15" customHeight="1" x14ac:dyDescent="0.45">
      <c r="A33" s="82"/>
      <c r="B33" t="s">
        <v>189</v>
      </c>
      <c r="C33" t="str">
        <f>'Sources and Uses'!C73</f>
        <v>Int rate</v>
      </c>
      <c r="D33" s="91">
        <f>'Sources and Uses'!D73</f>
        <v>6.8000000000000005E-2</v>
      </c>
      <c r="F33">
        <f ca="1">$D$33*AVERAGE(E32,F32)*(1-F7)*-1</f>
        <v>0</v>
      </c>
      <c r="G33">
        <f t="shared" ref="G33:K33" ca="1" si="88">$D$33*AVERAGE(F32,G32)*(1-G7)*-1</f>
        <v>0</v>
      </c>
      <c r="H33">
        <f t="shared" ca="1" si="88"/>
        <v>-2489.8766676581504</v>
      </c>
      <c r="I33">
        <f t="shared" ca="1" si="88"/>
        <v>-2489.8766676581504</v>
      </c>
      <c r="J33">
        <f t="shared" ca="1" si="88"/>
        <v>-2420.7134268898685</v>
      </c>
      <c r="K33">
        <f t="shared" ca="1" si="88"/>
        <v>-2282.3869453533048</v>
      </c>
      <c r="L33">
        <f t="shared" ref="L33" ca="1" si="89">$D$33*AVERAGE(K32,L32)*(1-L7)*-1</f>
        <v>-2144.0604638167406</v>
      </c>
      <c r="M33">
        <f t="shared" ref="M33" ca="1" si="90">$D$33*AVERAGE(L32,M32)*(1-M7)*-1</f>
        <v>-2005.7339822801771</v>
      </c>
      <c r="N33">
        <f t="shared" ref="N33" ca="1" si="91">$D$33*AVERAGE(M32,N32)*(1-N7)*-1</f>
        <v>-1867.4075007436129</v>
      </c>
      <c r="O33">
        <f t="shared" ref="O33" ca="1" si="92">$D$33*AVERAGE(N32,O32)*(1-O7)*-1</f>
        <v>-1729.0810192070492</v>
      </c>
      <c r="P33">
        <f t="shared" ref="P33" ca="1" si="93">$D$33*AVERAGE(O32,P32)*(1-P7)*-1</f>
        <v>-1590.7545376704848</v>
      </c>
      <c r="Q33">
        <f t="shared" ref="Q33" ca="1" si="94">$D$33*AVERAGE(P32,Q32)*(1-Q7)*-1</f>
        <v>-1452.428056133921</v>
      </c>
      <c r="R33">
        <f t="shared" ref="R33" ca="1" si="95">$D$33*AVERAGE(Q32,R32)*(1-R7)*-1</f>
        <v>-1314.1015745973568</v>
      </c>
      <c r="S33">
        <f t="shared" ref="S33" ca="1" si="96">$D$33*AVERAGE(R32,S32)*(1-S7)*-1</f>
        <v>-1175.7750930607931</v>
      </c>
      <c r="T33">
        <f t="shared" ref="T33" ca="1" si="97">$D$33*AVERAGE(S32,T32)*(1-T7)*-1</f>
        <v>-1037.4486115242291</v>
      </c>
      <c r="U33">
        <f t="shared" ref="U33" ca="1" si="98">$D$33*AVERAGE(T32,U32)*(1-U7)*-1</f>
        <v>-899.12212998766506</v>
      </c>
      <c r="V33">
        <f t="shared" ref="V33" ca="1" si="99">$D$33*AVERAGE(U32,V32)*(1-V7)*-1</f>
        <v>-760.7956484511011</v>
      </c>
      <c r="W33">
        <f t="shared" ref="W33" ca="1" si="100">$D$33*AVERAGE(V32,W32)*(1-W7)*-1</f>
        <v>-622.46916691453714</v>
      </c>
      <c r="X33">
        <f t="shared" ref="X33" ca="1" si="101">$D$33*AVERAGE(W32,X32)*(1-X7)*-1</f>
        <v>-484.14268537797329</v>
      </c>
      <c r="Y33">
        <f t="shared" ref="Y33" ca="1" si="102">$D$33*AVERAGE(X32,Y32)*(1-Y7)*-1</f>
        <v>-345.81620384140933</v>
      </c>
      <c r="Z33">
        <f t="shared" ref="Z33" ca="1" si="103">$D$33*AVERAGE(Y32,Z32)*(1-Z7)*-1</f>
        <v>-207.48972230484543</v>
      </c>
      <c r="AA33">
        <f t="shared" ref="AA33" ca="1" si="104">$D$33*AVERAGE(Z32,AA32)*(1-AA7)*-1</f>
        <v>-69.163240768281739</v>
      </c>
    </row>
    <row r="34" spans="1:27" ht="15" customHeight="1" x14ac:dyDescent="0.45">
      <c r="A34" s="82"/>
      <c r="B34"/>
      <c r="C34"/>
      <c r="D34" s="91"/>
    </row>
    <row r="35" spans="1:27" ht="15" customHeight="1" x14ac:dyDescent="0.45">
      <c r="A35" s="82"/>
      <c r="B35" t="s">
        <v>193</v>
      </c>
      <c r="C35"/>
      <c r="D35" s="91"/>
      <c r="F35">
        <f ca="1">'Sources and Uses'!F60</f>
        <v>44561.919999999998</v>
      </c>
      <c r="G35">
        <f ca="1">'Sources and Uses'!G60</f>
        <v>77490.857826379899</v>
      </c>
      <c r="H35">
        <f ca="1">'Sources and Uses'!H60</f>
        <v>0</v>
      </c>
      <c r="I35">
        <f ca="1">'Sources and Uses'!I60</f>
        <v>0</v>
      </c>
      <c r="J35">
        <f ca="1">'Sources and Uses'!J60</f>
        <v>0</v>
      </c>
      <c r="K35">
        <f ca="1">'Sources and Uses'!K60</f>
        <v>0</v>
      </c>
      <c r="L35">
        <f ca="1">'Sources and Uses'!L60</f>
        <v>0</v>
      </c>
      <c r="M35">
        <f ca="1">'Sources and Uses'!M60</f>
        <v>0</v>
      </c>
      <c r="N35">
        <f ca="1">'Sources and Uses'!N60</f>
        <v>0</v>
      </c>
      <c r="O35">
        <f ca="1">'Sources and Uses'!O60</f>
        <v>0</v>
      </c>
      <c r="P35">
        <f ca="1">'Sources and Uses'!P60</f>
        <v>0</v>
      </c>
      <c r="Q35">
        <f ca="1">'Sources and Uses'!Q60</f>
        <v>0</v>
      </c>
      <c r="R35">
        <f ca="1">'Sources and Uses'!R60</f>
        <v>0</v>
      </c>
      <c r="S35">
        <f ca="1">'Sources and Uses'!S60</f>
        <v>0</v>
      </c>
      <c r="T35">
        <f ca="1">'Sources and Uses'!T60</f>
        <v>0</v>
      </c>
      <c r="U35">
        <f ca="1">'Sources and Uses'!U60</f>
        <v>0</v>
      </c>
      <c r="V35">
        <f ca="1">'Sources and Uses'!V60</f>
        <v>0</v>
      </c>
      <c r="W35">
        <f ca="1">'Sources and Uses'!W60</f>
        <v>0</v>
      </c>
      <c r="X35">
        <f ca="1">'Sources and Uses'!X60</f>
        <v>0</v>
      </c>
      <c r="Y35">
        <f ca="1">'Sources and Uses'!Y60</f>
        <v>0</v>
      </c>
      <c r="Z35">
        <f ca="1">'Sources and Uses'!Z60</f>
        <v>0</v>
      </c>
      <c r="AA35">
        <f ca="1">'Sources and Uses'!AA60</f>
        <v>0</v>
      </c>
    </row>
    <row r="36" spans="1:27" ht="15" customHeight="1" x14ac:dyDescent="0.45">
      <c r="A36" s="82"/>
      <c r="B36"/>
      <c r="C36"/>
      <c r="D36" s="91"/>
    </row>
    <row r="37" spans="1:27" ht="15" customHeight="1" x14ac:dyDescent="0.45">
      <c r="A37"/>
      <c r="B37" t="s">
        <v>244</v>
      </c>
      <c r="C37"/>
      <c r="D37"/>
      <c r="F37">
        <f ca="1">F27+F30+F31+F33+F35</f>
        <v>0</v>
      </c>
      <c r="G37">
        <f t="shared" ref="G37:K37" ca="1" si="105">G27+G30+G31+G33+G35</f>
        <v>5732.8974969042611</v>
      </c>
      <c r="H37">
        <f t="shared" ca="1" si="105"/>
        <v>17219.794674269226</v>
      </c>
      <c r="I37">
        <f t="shared" ca="1" si="105"/>
        <v>21315.45284581673</v>
      </c>
      <c r="J37">
        <f t="shared" ca="1" si="105"/>
        <v>27666.974922534897</v>
      </c>
      <c r="K37">
        <f t="shared" ca="1" si="105"/>
        <v>27390.531687836792</v>
      </c>
      <c r="L37">
        <f t="shared" ref="L37:AA37" ca="1" si="106">L27+L30+L31+L33+L35</f>
        <v>27564.349818964161</v>
      </c>
      <c r="M37">
        <f t="shared" ca="1" si="106"/>
        <v>27759.417774994188</v>
      </c>
      <c r="N37">
        <f t="shared" ca="1" si="106"/>
        <v>27976.585548922954</v>
      </c>
      <c r="O37">
        <f t="shared" ca="1" si="106"/>
        <v>28216.737133466424</v>
      </c>
      <c r="P37">
        <f t="shared" ca="1" si="106"/>
        <v>28480.791881049161</v>
      </c>
      <c r="Q37">
        <f t="shared" ca="1" si="106"/>
        <v>28769.705918192758</v>
      </c>
      <c r="R37">
        <f t="shared" ca="1" si="106"/>
        <v>29084.47361647966</v>
      </c>
      <c r="S37">
        <f t="shared" ca="1" si="106"/>
        <v>29426.129122355553</v>
      </c>
      <c r="T37">
        <f t="shared" ca="1" si="106"/>
        <v>29795.747948124037</v>
      </c>
      <c r="U37">
        <f t="shared" ca="1" si="106"/>
        <v>30194.448626580812</v>
      </c>
      <c r="V37">
        <f t="shared" ca="1" si="106"/>
        <v>30623.3944318334</v>
      </c>
      <c r="W37">
        <f t="shared" ca="1" si="106"/>
        <v>31083.795168953642</v>
      </c>
      <c r="X37">
        <f t="shared" ca="1" si="106"/>
        <v>31580.401270321789</v>
      </c>
      <c r="Y37">
        <f t="shared" ca="1" si="106"/>
        <v>27670.099309325196</v>
      </c>
      <c r="Z37">
        <f t="shared" ca="1" si="106"/>
        <v>28660.220430957284</v>
      </c>
      <c r="AA37">
        <f t="shared" ca="1" si="106"/>
        <v>29478.828010675279</v>
      </c>
    </row>
    <row r="38" spans="1:27" ht="15" customHeight="1" x14ac:dyDescent="0.45">
      <c r="A38"/>
      <c r="B38"/>
      <c r="C38"/>
      <c r="D38"/>
    </row>
    <row r="39" spans="1:27" ht="15" customHeight="1" x14ac:dyDescent="0.45">
      <c r="A39" s="82" t="s">
        <v>237</v>
      </c>
      <c r="B39"/>
      <c r="C39"/>
      <c r="D39"/>
    </row>
    <row r="40" spans="1:27" ht="15" customHeight="1" x14ac:dyDescent="0.45">
      <c r="A40" s="82"/>
      <c r="B40" t="s">
        <v>238</v>
      </c>
      <c r="C40"/>
      <c r="D40"/>
      <c r="F40">
        <f ca="1">G23+G31</f>
        <v>0</v>
      </c>
      <c r="G40">
        <f t="shared" ref="G40:J40" ca="1" si="107">H23+H31</f>
        <v>0</v>
      </c>
      <c r="H40">
        <f t="shared" ca="1" si="107"/>
        <v>0</v>
      </c>
      <c r="I40">
        <f t="shared" ca="1" si="107"/>
        <v>-7730.0092623373939</v>
      </c>
      <c r="J40">
        <f t="shared" ca="1" si="107"/>
        <v>-7730.0092623373939</v>
      </c>
      <c r="K40">
        <f t="shared" ref="K40" ca="1" si="108">L23+L31</f>
        <v>-7730.0092623373939</v>
      </c>
      <c r="L40">
        <f t="shared" ref="L40" ca="1" si="109">M23+M31</f>
        <v>-7730.0092623373939</v>
      </c>
      <c r="M40">
        <f t="shared" ref="M40" ca="1" si="110">N23+N31</f>
        <v>-7730.0092623373939</v>
      </c>
      <c r="N40">
        <f t="shared" ref="N40" ca="1" si="111">O23+O31</f>
        <v>-7730.0092623373939</v>
      </c>
      <c r="O40">
        <f t="shared" ref="O40" ca="1" si="112">P23+P31</f>
        <v>-7730.0092623373939</v>
      </c>
      <c r="P40">
        <f t="shared" ref="P40" ca="1" si="113">Q23+Q31</f>
        <v>-7730.0092623373939</v>
      </c>
      <c r="Q40">
        <f t="shared" ref="Q40" ca="1" si="114">R23+R31</f>
        <v>-7730.0092623373939</v>
      </c>
      <c r="R40">
        <f t="shared" ref="R40" ca="1" si="115">S23+S31</f>
        <v>-7730.0092623373939</v>
      </c>
      <c r="S40">
        <f t="shared" ref="S40" ca="1" si="116">T23+T31</f>
        <v>-7730.0092623373939</v>
      </c>
      <c r="T40">
        <f t="shared" ref="T40" ca="1" si="117">U23+U31</f>
        <v>-7730.0092623373939</v>
      </c>
      <c r="U40">
        <f t="shared" ref="U40" ca="1" si="118">V23+V31</f>
        <v>-7730.0092623373939</v>
      </c>
      <c r="V40">
        <f t="shared" ref="V40" ca="1" si="119">W23+W31</f>
        <v>-7730.0092623373939</v>
      </c>
      <c r="W40">
        <f t="shared" ref="W40" ca="1" si="120">X23+X31</f>
        <v>-7730.0092623373703</v>
      </c>
      <c r="X40">
        <f t="shared" ref="X40" ca="1" si="121">Y23+Y31</f>
        <v>-2034.2129637729986</v>
      </c>
      <c r="Y40">
        <f t="shared" ref="Y40" ca="1" si="122">Z23+Z31</f>
        <v>-2034.2129637729986</v>
      </c>
      <c r="Z40">
        <f t="shared" ref="Z40" ca="1" si="123">AA23+AA31</f>
        <v>-2034.2129637729922</v>
      </c>
      <c r="AA40">
        <f t="shared" ref="AA40" si="124">AB23+AB31</f>
        <v>0</v>
      </c>
    </row>
    <row r="41" spans="1:27" ht="15" customHeight="1" x14ac:dyDescent="0.45">
      <c r="A41" s="82"/>
      <c r="B41" t="s">
        <v>239</v>
      </c>
      <c r="C41"/>
      <c r="D41"/>
      <c r="F41">
        <f ca="1">G25+G33</f>
        <v>0</v>
      </c>
      <c r="G41">
        <f t="shared" ref="G41:J41" ca="1" si="125">H25+H33</f>
        <v>-5736.4805578398555</v>
      </c>
      <c r="H41">
        <f t="shared" ca="1" si="125"/>
        <v>-5736.4805578398555</v>
      </c>
      <c r="I41">
        <f t="shared" ca="1" si="125"/>
        <v>-5559.097187398851</v>
      </c>
      <c r="J41">
        <f t="shared" ca="1" si="125"/>
        <v>-5204.3304465168385</v>
      </c>
      <c r="K41">
        <f t="shared" ref="K41" ca="1" si="126">L25+L33</f>
        <v>-4849.5637056348278</v>
      </c>
      <c r="L41">
        <f t="shared" ref="L41" ca="1" si="127">M25+M33</f>
        <v>-4494.7969647528171</v>
      </c>
      <c r="M41">
        <f t="shared" ref="M41" ca="1" si="128">N25+N33</f>
        <v>-4140.0302238708064</v>
      </c>
      <c r="N41">
        <f t="shared" ref="N41" ca="1" si="129">O25+O33</f>
        <v>-3785.2634829887957</v>
      </c>
      <c r="O41">
        <f t="shared" ref="O41" ca="1" si="130">P25+P33</f>
        <v>-3430.496742106784</v>
      </c>
      <c r="P41">
        <f t="shared" ref="P41" ca="1" si="131">Q25+Q33</f>
        <v>-3075.7300012247733</v>
      </c>
      <c r="Q41">
        <f t="shared" ref="Q41" ca="1" si="132">R25+R33</f>
        <v>-2720.9632603427617</v>
      </c>
      <c r="R41">
        <f t="shared" ref="R41" ca="1" si="133">S25+S33</f>
        <v>-2366.196519460751</v>
      </c>
      <c r="S41">
        <f t="shared" ref="S41" ca="1" si="134">T25+T33</f>
        <v>-2011.4297785787398</v>
      </c>
      <c r="T41">
        <f t="shared" ref="T41" ca="1" si="135">U25+U33</f>
        <v>-1656.6630376967287</v>
      </c>
      <c r="U41">
        <f t="shared" ref="U41" ca="1" si="136">V25+V33</f>
        <v>-1301.8962968147177</v>
      </c>
      <c r="V41">
        <f t="shared" ref="V41" ca="1" si="137">W25+W33</f>
        <v>-947.12955593270681</v>
      </c>
      <c r="W41">
        <f t="shared" ref="W41" ca="1" si="138">X25+X33</f>
        <v>-592.36281505069633</v>
      </c>
      <c r="X41">
        <f t="shared" ref="X41" ca="1" si="139">Y25+Y33</f>
        <v>-345.81620384140933</v>
      </c>
      <c r="Y41">
        <f t="shared" ref="Y41" ca="1" si="140">Z25+Z33</f>
        <v>-207.48972230484543</v>
      </c>
      <c r="Z41">
        <f t="shared" ref="Z41" ca="1" si="141">AA25+AA33</f>
        <v>-69.163240768281739</v>
      </c>
      <c r="AA41">
        <f t="shared" ref="AA41" si="142">AB25+AB33</f>
        <v>0</v>
      </c>
    </row>
    <row r="42" spans="1:27" ht="15" customHeight="1" x14ac:dyDescent="0.45">
      <c r="A42" s="82"/>
      <c r="B42" t="s">
        <v>240</v>
      </c>
      <c r="C42"/>
      <c r="D42"/>
      <c r="F42">
        <f ca="1">SUM(F40:F41)</f>
        <v>0</v>
      </c>
      <c r="G42">
        <f t="shared" ref="G42:J42" ca="1" si="143">SUM(G40:G41)</f>
        <v>-5736.4805578398555</v>
      </c>
      <c r="H42">
        <f t="shared" ca="1" si="143"/>
        <v>-5736.4805578398555</v>
      </c>
      <c r="I42">
        <f t="shared" ca="1" si="143"/>
        <v>-13289.106449736246</v>
      </c>
      <c r="J42">
        <f t="shared" ca="1" si="143"/>
        <v>-12934.339708854233</v>
      </c>
      <c r="K42">
        <f t="shared" ref="K42:AA42" ca="1" si="144">SUM(K40:K41)</f>
        <v>-12579.572967972221</v>
      </c>
      <c r="L42">
        <f t="shared" ca="1" si="144"/>
        <v>-12224.806227090212</v>
      </c>
      <c r="M42">
        <f t="shared" ca="1" si="144"/>
        <v>-11870.039486208199</v>
      </c>
      <c r="N42">
        <f t="shared" ca="1" si="144"/>
        <v>-11515.27274532619</v>
      </c>
      <c r="O42">
        <f t="shared" ca="1" si="144"/>
        <v>-11160.506004444178</v>
      </c>
      <c r="P42">
        <f t="shared" ca="1" si="144"/>
        <v>-10805.739263562167</v>
      </c>
      <c r="Q42">
        <f t="shared" ca="1" si="144"/>
        <v>-10450.972522680157</v>
      </c>
      <c r="R42">
        <f t="shared" ca="1" si="144"/>
        <v>-10096.205781798144</v>
      </c>
      <c r="S42">
        <f t="shared" ca="1" si="144"/>
        <v>-9741.4390409161333</v>
      </c>
      <c r="T42">
        <f t="shared" ca="1" si="144"/>
        <v>-9386.6723000341226</v>
      </c>
      <c r="U42">
        <f t="shared" ca="1" si="144"/>
        <v>-9031.9055591521119</v>
      </c>
      <c r="V42">
        <f t="shared" ca="1" si="144"/>
        <v>-8677.1388182701012</v>
      </c>
      <c r="W42">
        <f t="shared" ca="1" si="144"/>
        <v>-8322.3720773880668</v>
      </c>
      <c r="X42">
        <f t="shared" ca="1" si="144"/>
        <v>-2380.0291676144079</v>
      </c>
      <c r="Y42">
        <f t="shared" ca="1" si="144"/>
        <v>-2241.7026860778442</v>
      </c>
      <c r="Z42">
        <f t="shared" ca="1" si="144"/>
        <v>-2103.3762045412741</v>
      </c>
      <c r="AA42">
        <f t="shared" si="144"/>
        <v>0</v>
      </c>
    </row>
    <row r="43" spans="1:27" ht="15" customHeight="1" x14ac:dyDescent="0.45">
      <c r="A43" s="82"/>
      <c r="B43"/>
      <c r="C43"/>
      <c r="D43"/>
    </row>
    <row r="44" spans="1:27" ht="15" customHeight="1" x14ac:dyDescent="0.45">
      <c r="A44" s="82" t="s">
        <v>164</v>
      </c>
      <c r="B44"/>
      <c r="C44"/>
      <c r="D44"/>
    </row>
    <row r="45" spans="1:27" ht="15" customHeight="1" x14ac:dyDescent="0.45">
      <c r="A45" s="82"/>
      <c r="B45" t="s">
        <v>225</v>
      </c>
      <c r="C45" s="77"/>
      <c r="D45" s="77"/>
      <c r="F45">
        <f ca="1">F37+F42</f>
        <v>0</v>
      </c>
      <c r="G45">
        <f t="shared" ref="G45:J45" ca="1" si="145">G37+G42</f>
        <v>-3.5830609355944034</v>
      </c>
      <c r="H45">
        <f t="shared" ca="1" si="145"/>
        <v>11483.31411642937</v>
      </c>
      <c r="I45">
        <f t="shared" ca="1" si="145"/>
        <v>8026.3463960804838</v>
      </c>
      <c r="J45">
        <f t="shared" ca="1" si="145"/>
        <v>14732.635213680664</v>
      </c>
      <c r="K45">
        <f t="shared" ref="K45:AA45" ca="1" si="146">K37+K42</f>
        <v>14810.958719864571</v>
      </c>
      <c r="L45">
        <f t="shared" ca="1" si="146"/>
        <v>15339.543591873949</v>
      </c>
      <c r="M45">
        <f t="shared" ca="1" si="146"/>
        <v>15889.378288785989</v>
      </c>
      <c r="N45">
        <f t="shared" ca="1" si="146"/>
        <v>16461.312803596764</v>
      </c>
      <c r="O45">
        <f t="shared" ca="1" si="146"/>
        <v>17056.231129022246</v>
      </c>
      <c r="P45">
        <f t="shared" ca="1" si="146"/>
        <v>17675.052617486996</v>
      </c>
      <c r="Q45">
        <f t="shared" ca="1" si="146"/>
        <v>18318.733395512601</v>
      </c>
      <c r="R45">
        <f t="shared" ca="1" si="146"/>
        <v>18988.267834681516</v>
      </c>
      <c r="S45">
        <f t="shared" ca="1" si="146"/>
        <v>19684.690081439418</v>
      </c>
      <c r="T45">
        <f t="shared" ca="1" si="146"/>
        <v>20409.075648089914</v>
      </c>
      <c r="U45">
        <f t="shared" ca="1" si="146"/>
        <v>21162.543067428698</v>
      </c>
      <c r="V45">
        <f t="shared" ca="1" si="146"/>
        <v>21946.255613563299</v>
      </c>
      <c r="W45">
        <f t="shared" ca="1" si="146"/>
        <v>22761.423091565575</v>
      </c>
      <c r="X45">
        <f t="shared" ca="1" si="146"/>
        <v>29200.372102707381</v>
      </c>
      <c r="Y45">
        <f t="shared" ca="1" si="146"/>
        <v>25428.396623247354</v>
      </c>
      <c r="Z45">
        <f t="shared" ca="1" si="146"/>
        <v>26556.844226416011</v>
      </c>
      <c r="AA45">
        <f t="shared" ca="1" si="146"/>
        <v>29478.828010675279</v>
      </c>
    </row>
    <row r="46" spans="1:27" ht="15" customHeight="1" x14ac:dyDescent="0.45">
      <c r="A46" s="82"/>
      <c r="B46" t="s">
        <v>200</v>
      </c>
      <c r="C46" t="s">
        <v>201</v>
      </c>
      <c r="D46">
        <f>'Assumptions and Outputs'!D89</f>
        <v>2</v>
      </c>
      <c r="F46" s="90">
        <f ca="1">IFERROR(IF($D$46&gt;F63*F8,0,1),0)</f>
        <v>0</v>
      </c>
      <c r="G46" s="90">
        <f t="shared" ref="G46:J46" ca="1" si="147">IFERROR(IF($D$46&gt;G63*G8,0,1),0)</f>
        <v>0</v>
      </c>
      <c r="H46" s="90">
        <f t="shared" ca="1" si="147"/>
        <v>1</v>
      </c>
      <c r="I46" s="90">
        <f t="shared" ca="1" si="147"/>
        <v>1</v>
      </c>
      <c r="J46" s="90">
        <f t="shared" ca="1" si="147"/>
        <v>1</v>
      </c>
      <c r="K46" s="90">
        <f t="shared" ref="K46:AA46" ca="1" si="148">IFERROR(IF($D$46&gt;K63*K8,0,1),0)</f>
        <v>1</v>
      </c>
      <c r="L46" s="90">
        <f t="shared" ca="1" si="148"/>
        <v>1</v>
      </c>
      <c r="M46" s="90">
        <f t="shared" ca="1" si="148"/>
        <v>1</v>
      </c>
      <c r="N46" s="90">
        <f t="shared" ca="1" si="148"/>
        <v>1</v>
      </c>
      <c r="O46" s="90">
        <f t="shared" ca="1" si="148"/>
        <v>1</v>
      </c>
      <c r="P46" s="90">
        <f t="shared" ca="1" si="148"/>
        <v>1</v>
      </c>
      <c r="Q46" s="90">
        <f t="shared" ca="1" si="148"/>
        <v>1</v>
      </c>
      <c r="R46" s="90">
        <f t="shared" ca="1" si="148"/>
        <v>1</v>
      </c>
      <c r="S46" s="90">
        <f t="shared" ca="1" si="148"/>
        <v>1</v>
      </c>
      <c r="T46" s="90">
        <f t="shared" ca="1" si="148"/>
        <v>1</v>
      </c>
      <c r="U46" s="90">
        <f t="shared" ca="1" si="148"/>
        <v>1</v>
      </c>
      <c r="V46" s="90">
        <f t="shared" ca="1" si="148"/>
        <v>1</v>
      </c>
      <c r="W46" s="90">
        <f t="shared" ca="1" si="148"/>
        <v>1</v>
      </c>
      <c r="X46" s="90">
        <f t="shared" ca="1" si="148"/>
        <v>1</v>
      </c>
      <c r="Y46" s="90">
        <f t="shared" ca="1" si="148"/>
        <v>1</v>
      </c>
      <c r="Z46" s="90">
        <f t="shared" ca="1" si="148"/>
        <v>1</v>
      </c>
      <c r="AA46" s="90">
        <f t="shared" ca="1" si="148"/>
        <v>1</v>
      </c>
    </row>
    <row r="47" spans="1:27" ht="15" customHeight="1" x14ac:dyDescent="0.45">
      <c r="A47" s="82"/>
      <c r="B47" t="s">
        <v>164</v>
      </c>
      <c r="C47" t="s">
        <v>229</v>
      </c>
      <c r="D47" s="91">
        <f>'Assumptions and Outputs'!D88</f>
        <v>1</v>
      </c>
      <c r="F47" s="90">
        <f ca="1">F45*F46*$D$47*-1</f>
        <v>0</v>
      </c>
      <c r="G47" s="90">
        <f t="shared" ref="G47:K47" ca="1" si="149">G45*G46*$D$47*-1</f>
        <v>0</v>
      </c>
      <c r="H47" s="90">
        <f t="shared" ca="1" si="149"/>
        <v>-11483.31411642937</v>
      </c>
      <c r="I47" s="90">
        <f t="shared" ca="1" si="149"/>
        <v>-8026.3463960804838</v>
      </c>
      <c r="J47" s="90">
        <f t="shared" ca="1" si="149"/>
        <v>-14732.635213680664</v>
      </c>
      <c r="K47" s="90">
        <f t="shared" ca="1" si="149"/>
        <v>-14810.958719864571</v>
      </c>
      <c r="L47" s="90">
        <f t="shared" ref="L47:AA47" ca="1" si="150">L45*L46*$D$47*-1</f>
        <v>-15339.543591873949</v>
      </c>
      <c r="M47" s="90">
        <f t="shared" ca="1" si="150"/>
        <v>-15889.378288785989</v>
      </c>
      <c r="N47" s="90">
        <f t="shared" ca="1" si="150"/>
        <v>-16461.312803596764</v>
      </c>
      <c r="O47" s="90">
        <f t="shared" ca="1" si="150"/>
        <v>-17056.231129022246</v>
      </c>
      <c r="P47" s="90">
        <f t="shared" ca="1" si="150"/>
        <v>-17675.052617486996</v>
      </c>
      <c r="Q47" s="90">
        <f t="shared" ca="1" si="150"/>
        <v>-18318.733395512601</v>
      </c>
      <c r="R47" s="90">
        <f t="shared" ca="1" si="150"/>
        <v>-18988.267834681516</v>
      </c>
      <c r="S47" s="90">
        <f t="shared" ca="1" si="150"/>
        <v>-19684.690081439418</v>
      </c>
      <c r="T47" s="90">
        <f t="shared" ca="1" si="150"/>
        <v>-20409.075648089914</v>
      </c>
      <c r="U47" s="90">
        <f t="shared" ca="1" si="150"/>
        <v>-21162.543067428698</v>
      </c>
      <c r="V47" s="90">
        <f t="shared" ca="1" si="150"/>
        <v>-21946.255613563299</v>
      </c>
      <c r="W47" s="90">
        <f t="shared" ca="1" si="150"/>
        <v>-22761.423091565575</v>
      </c>
      <c r="X47" s="90">
        <f t="shared" ca="1" si="150"/>
        <v>-29200.372102707381</v>
      </c>
      <c r="Y47" s="90">
        <f t="shared" ca="1" si="150"/>
        <v>-25428.396623247354</v>
      </c>
      <c r="Z47" s="90">
        <f t="shared" ca="1" si="150"/>
        <v>-26556.844226416011</v>
      </c>
      <c r="AA47" s="90">
        <f t="shared" ca="1" si="150"/>
        <v>-29478.828010675279</v>
      </c>
    </row>
    <row r="48" spans="1:27" ht="15" customHeight="1" x14ac:dyDescent="0.45">
      <c r="A48" s="82"/>
      <c r="B48"/>
      <c r="C48"/>
      <c r="D48"/>
    </row>
    <row r="49" spans="1:27" ht="15" customHeight="1" x14ac:dyDescent="0.45">
      <c r="A49" s="82"/>
      <c r="B49" t="s">
        <v>245</v>
      </c>
      <c r="C49"/>
      <c r="D49"/>
      <c r="F49">
        <f ca="1">F37+F47</f>
        <v>0</v>
      </c>
      <c r="G49">
        <f t="shared" ref="G49:K49" ca="1" si="151">G37+G47</f>
        <v>5732.8974969042611</v>
      </c>
      <c r="H49">
        <f t="shared" ca="1" si="151"/>
        <v>5736.4805578398555</v>
      </c>
      <c r="I49">
        <f t="shared" ca="1" si="151"/>
        <v>13289.106449736246</v>
      </c>
      <c r="J49">
        <f t="shared" ca="1" si="151"/>
        <v>12934.339708854233</v>
      </c>
      <c r="K49">
        <f t="shared" ca="1" si="151"/>
        <v>12579.572967972221</v>
      </c>
      <c r="L49">
        <f t="shared" ref="L49:AA49" ca="1" si="152">L37+L47</f>
        <v>12224.806227090212</v>
      </c>
      <c r="M49">
        <f t="shared" ca="1" si="152"/>
        <v>11870.039486208199</v>
      </c>
      <c r="N49">
        <f t="shared" ca="1" si="152"/>
        <v>11515.27274532619</v>
      </c>
      <c r="O49">
        <f t="shared" ca="1" si="152"/>
        <v>11160.506004444178</v>
      </c>
      <c r="P49">
        <f t="shared" ca="1" si="152"/>
        <v>10805.739263562165</v>
      </c>
      <c r="Q49">
        <f t="shared" ca="1" si="152"/>
        <v>10450.972522680157</v>
      </c>
      <c r="R49">
        <f t="shared" ca="1" si="152"/>
        <v>10096.205781798144</v>
      </c>
      <c r="S49">
        <f t="shared" ca="1" si="152"/>
        <v>9741.4390409161351</v>
      </c>
      <c r="T49">
        <f t="shared" ca="1" si="152"/>
        <v>9386.6723000341226</v>
      </c>
      <c r="U49">
        <f t="shared" ca="1" si="152"/>
        <v>9031.9055591521137</v>
      </c>
      <c r="V49">
        <f t="shared" ca="1" si="152"/>
        <v>8677.1388182701012</v>
      </c>
      <c r="W49">
        <f t="shared" ca="1" si="152"/>
        <v>8322.3720773880668</v>
      </c>
      <c r="X49">
        <f t="shared" ca="1" si="152"/>
        <v>2380.0291676144079</v>
      </c>
      <c r="Y49">
        <f t="shared" ca="1" si="152"/>
        <v>2241.7026860778424</v>
      </c>
      <c r="Z49">
        <f t="shared" ca="1" si="152"/>
        <v>2103.3762045412732</v>
      </c>
      <c r="AA49">
        <f t="shared" ca="1" si="152"/>
        <v>0</v>
      </c>
    </row>
    <row r="50" spans="1:27" ht="15" customHeight="1" x14ac:dyDescent="0.45">
      <c r="A50" s="82"/>
      <c r="B50" t="s">
        <v>136</v>
      </c>
      <c r="C50" t="s">
        <v>172</v>
      </c>
      <c r="D50" s="91">
        <f>'Assumptions and Outputs'!D79</f>
        <v>0.01</v>
      </c>
      <c r="F50">
        <f ca="1">$D$50*AVERAGE(E49,F49)</f>
        <v>0</v>
      </c>
      <c r="G50">
        <f t="shared" ref="G50:K50" ca="1" si="153">$D$50*AVERAGE(F49,G49)</f>
        <v>28.664487484521306</v>
      </c>
      <c r="H50">
        <f t="shared" ca="1" si="153"/>
        <v>57.346890273720582</v>
      </c>
      <c r="I50">
        <f t="shared" ca="1" si="153"/>
        <v>95.127935037880505</v>
      </c>
      <c r="J50">
        <f t="shared" ca="1" si="153"/>
        <v>131.1172307929524</v>
      </c>
      <c r="K50">
        <f t="shared" ca="1" si="153"/>
        <v>127.56956338413228</v>
      </c>
      <c r="L50">
        <f t="shared" ref="L50" ca="1" si="154">$D$50*AVERAGE(K49,L49)</f>
        <v>124.02189597531216</v>
      </c>
      <c r="M50">
        <f t="shared" ref="M50" ca="1" si="155">$D$50*AVERAGE(L49,M49)</f>
        <v>120.47422856649206</v>
      </c>
      <c r="N50">
        <f t="shared" ref="N50" ca="1" si="156">$D$50*AVERAGE(M49,N49)</f>
        <v>116.92656115767196</v>
      </c>
      <c r="O50">
        <f t="shared" ref="O50" ca="1" si="157">$D$50*AVERAGE(N49,O49)</f>
        <v>113.37889374885185</v>
      </c>
      <c r="P50">
        <f t="shared" ref="P50" ca="1" si="158">$D$50*AVERAGE(O49,P49)</f>
        <v>109.83122634003172</v>
      </c>
      <c r="Q50">
        <f t="shared" ref="Q50" ca="1" si="159">$D$50*AVERAGE(P49,Q49)</f>
        <v>106.28355893121162</v>
      </c>
      <c r="R50">
        <f t="shared" ref="R50" ca="1" si="160">$D$50*AVERAGE(Q49,R49)</f>
        <v>102.73589152239151</v>
      </c>
      <c r="S50">
        <f t="shared" ref="S50" ca="1" si="161">$D$50*AVERAGE(R49,S49)</f>
        <v>99.188224113571394</v>
      </c>
      <c r="T50">
        <f t="shared" ref="T50" ca="1" si="162">$D$50*AVERAGE(S49,T49)</f>
        <v>95.64055670475129</v>
      </c>
      <c r="U50">
        <f t="shared" ref="U50" ca="1" si="163">$D$50*AVERAGE(T49,U49)</f>
        <v>92.092889295931187</v>
      </c>
      <c r="V50">
        <f t="shared" ref="V50" ca="1" si="164">$D$50*AVERAGE(U49,V49)</f>
        <v>88.545221887111083</v>
      </c>
      <c r="W50">
        <f t="shared" ref="W50" ca="1" si="165">$D$50*AVERAGE(V49,W49)</f>
        <v>84.997554478290837</v>
      </c>
      <c r="X50">
        <f t="shared" ref="X50" ca="1" si="166">$D$50*AVERAGE(W49,X49)</f>
        <v>53.512006225012378</v>
      </c>
      <c r="Y50">
        <f t="shared" ref="Y50" ca="1" si="167">$D$50*AVERAGE(X49,Y49)</f>
        <v>23.108659268461253</v>
      </c>
      <c r="Z50">
        <f t="shared" ref="Z50" ca="1" si="168">$D$50*AVERAGE(Y49,Z49)</f>
        <v>21.725394453095578</v>
      </c>
      <c r="AA50">
        <f t="shared" ref="AA50" ca="1" si="169">$D$50*AVERAGE(Z49,AA49)</f>
        <v>10.516881022706366</v>
      </c>
    </row>
    <row r="51" spans="1:27" ht="15" customHeight="1" x14ac:dyDescent="0.45">
      <c r="A51" s="82"/>
      <c r="B51"/>
      <c r="C51"/>
      <c r="D51" s="91"/>
    </row>
    <row r="52" spans="1:27" ht="15" customHeight="1" x14ac:dyDescent="0.45">
      <c r="A52" s="82" t="s">
        <v>246</v>
      </c>
      <c r="B52"/>
      <c r="C52"/>
      <c r="D52" s="91"/>
    </row>
    <row r="53" spans="1:27" ht="15" customHeight="1" x14ac:dyDescent="0.45">
      <c r="A53" s="82"/>
      <c r="B53" t="s">
        <v>168</v>
      </c>
      <c r="C53"/>
      <c r="D53" s="91"/>
      <c r="E53" s="83">
        <v>0</v>
      </c>
      <c r="F53">
        <f ca="1">F49+F50</f>
        <v>0</v>
      </c>
      <c r="G53">
        <f t="shared" ref="G53:K53" ca="1" si="170">G49+G50</f>
        <v>5761.5619843887825</v>
      </c>
      <c r="H53">
        <f t="shared" ca="1" si="170"/>
        <v>5793.8274481135759</v>
      </c>
      <c r="I53">
        <f t="shared" ca="1" si="170"/>
        <v>13384.234384774127</v>
      </c>
      <c r="J53">
        <f t="shared" ca="1" si="170"/>
        <v>13065.456939647185</v>
      </c>
      <c r="K53">
        <f t="shared" ca="1" si="170"/>
        <v>12707.142531356352</v>
      </c>
      <c r="L53">
        <f t="shared" ref="L53:AA53" ca="1" si="171">L49+L50</f>
        <v>12348.828123065525</v>
      </c>
      <c r="M53">
        <f t="shared" ca="1" si="171"/>
        <v>11990.513714774692</v>
      </c>
      <c r="N53">
        <f t="shared" ca="1" si="171"/>
        <v>11632.199306483863</v>
      </c>
      <c r="O53">
        <f t="shared" ca="1" si="171"/>
        <v>11273.88489819303</v>
      </c>
      <c r="P53">
        <f t="shared" ca="1" si="171"/>
        <v>10915.570489902197</v>
      </c>
      <c r="Q53">
        <f t="shared" ca="1" si="171"/>
        <v>10557.256081611367</v>
      </c>
      <c r="R53">
        <f t="shared" ca="1" si="171"/>
        <v>10198.941673320536</v>
      </c>
      <c r="S53">
        <f t="shared" ca="1" si="171"/>
        <v>9840.6272650297069</v>
      </c>
      <c r="T53">
        <f t="shared" ca="1" si="171"/>
        <v>9482.312856738874</v>
      </c>
      <c r="U53">
        <f t="shared" ca="1" si="171"/>
        <v>9123.9984484480447</v>
      </c>
      <c r="V53">
        <f t="shared" ca="1" si="171"/>
        <v>8765.6840401572117</v>
      </c>
      <c r="W53">
        <f t="shared" ca="1" si="171"/>
        <v>8407.3696318663569</v>
      </c>
      <c r="X53">
        <f t="shared" ca="1" si="171"/>
        <v>2433.5411738394205</v>
      </c>
      <c r="Y53">
        <f t="shared" ca="1" si="171"/>
        <v>2264.8113453463038</v>
      </c>
      <c r="Z53">
        <f t="shared" ca="1" si="171"/>
        <v>2125.1015989943689</v>
      </c>
      <c r="AA53">
        <f t="shared" ca="1" si="171"/>
        <v>10.516881022706366</v>
      </c>
    </row>
    <row r="54" spans="1:27" ht="15" customHeight="1" x14ac:dyDescent="0.45">
      <c r="A54" s="82"/>
      <c r="B54" t="s">
        <v>194</v>
      </c>
      <c r="C54"/>
      <c r="D54"/>
      <c r="F54">
        <f ca="1">F53-'Cashflow statement'!F23</f>
        <v>0</v>
      </c>
      <c r="G54">
        <f ca="1">G53-'Cashflow statement'!G23</f>
        <v>-1.546140993013978E-11</v>
      </c>
      <c r="H54">
        <f ca="1">H53-'Cashflow statement'!H23</f>
        <v>-1.6370904631912708E-11</v>
      </c>
      <c r="I54">
        <f ca="1">I53-'Cashflow statement'!I23</f>
        <v>-1.6370904631912708E-11</v>
      </c>
      <c r="J54">
        <f ca="1">J53-'Cashflow statement'!J23</f>
        <v>-2.1827872842550278E-11</v>
      </c>
      <c r="K54">
        <f ca="1">K53-'Cashflow statement'!K23</f>
        <v>-2.1827872842550278E-11</v>
      </c>
      <c r="L54">
        <f ca="1">L53-'Cashflow statement'!L23</f>
        <v>-2.3646862246096134E-11</v>
      </c>
      <c r="M54">
        <f ca="1">M53-'Cashflow statement'!M23</f>
        <v>-2.7284841053187847E-11</v>
      </c>
      <c r="N54">
        <f ca="1">N53-'Cashflow statement'!N23</f>
        <v>-2.0008883439004421E-11</v>
      </c>
      <c r="O54">
        <f ca="1">O53-'Cashflow statement'!O23</f>
        <v>-2.0008883439004421E-11</v>
      </c>
      <c r="P54">
        <f ca="1">P53-'Cashflow statement'!P23</f>
        <v>-1.6370904631912708E-11</v>
      </c>
      <c r="Q54">
        <f ca="1">Q53-'Cashflow statement'!Q23</f>
        <v>-2.0008883439004421E-11</v>
      </c>
      <c r="R54">
        <f ca="1">R53-'Cashflow statement'!R23</f>
        <v>-1.4551915228366852E-11</v>
      </c>
      <c r="S54">
        <f ca="1">S53-'Cashflow statement'!S23</f>
        <v>-1.8189894035458565E-11</v>
      </c>
      <c r="T54">
        <f ca="1">T53-'Cashflow statement'!T23</f>
        <v>-2.1827872842550278E-11</v>
      </c>
      <c r="U54">
        <f ca="1">U53-'Cashflow statement'!U23</f>
        <v>-2.1827872842550278E-11</v>
      </c>
      <c r="V54">
        <f ca="1">V53-'Cashflow statement'!V23</f>
        <v>-2.9103830456733704E-11</v>
      </c>
      <c r="W54">
        <f ca="1">W53-'Cashflow statement'!W23</f>
        <v>-3.2741809263825417E-11</v>
      </c>
      <c r="X54">
        <f ca="1">X53-'Cashflow statement'!X23</f>
        <v>-3.3651303965598345E-11</v>
      </c>
      <c r="Y54">
        <f ca="1">Y53-'Cashflow statement'!Y23</f>
        <v>-3.3651303965598345E-11</v>
      </c>
      <c r="Z54">
        <f ca="1">Z53-'Cashflow statement'!Z23</f>
        <v>-3.7289282772690058E-11</v>
      </c>
      <c r="AA54">
        <f ca="1">AA53-'Cashflow statement'!AA23</f>
        <v>-3.7834624322385935E-11</v>
      </c>
    </row>
    <row r="55" spans="1:27" ht="15" customHeight="1" x14ac:dyDescent="0.45">
      <c r="A55" s="82"/>
      <c r="B55"/>
      <c r="C55"/>
      <c r="D55"/>
    </row>
    <row r="56" spans="1:27" ht="15" customHeight="1" x14ac:dyDescent="0.45">
      <c r="A56" s="82" t="s">
        <v>253</v>
      </c>
      <c r="B56"/>
      <c r="C56"/>
      <c r="D56"/>
    </row>
    <row r="57" spans="1:27" ht="15" customHeight="1" x14ac:dyDescent="0.45">
      <c r="A57" s="82"/>
      <c r="B57" t="s">
        <v>195</v>
      </c>
      <c r="C57"/>
      <c r="D57"/>
      <c r="F57">
        <f ca="1">F25+F33</f>
        <v>0</v>
      </c>
      <c r="G57">
        <f t="shared" ref="G57:K57" ca="1" si="172">G25+G33</f>
        <v>0</v>
      </c>
      <c r="H57">
        <f t="shared" ca="1" si="172"/>
        <v>-5736.4805578398555</v>
      </c>
      <c r="I57">
        <f t="shared" ca="1" si="172"/>
        <v>-5736.4805578398555</v>
      </c>
      <c r="J57">
        <f t="shared" ca="1" si="172"/>
        <v>-5559.097187398851</v>
      </c>
      <c r="K57">
        <f t="shared" ca="1" si="172"/>
        <v>-5204.3304465168385</v>
      </c>
      <c r="L57">
        <f t="shared" ref="L57:AA57" ca="1" si="173">L25+L33</f>
        <v>-4849.5637056348278</v>
      </c>
      <c r="M57">
        <f t="shared" ca="1" si="173"/>
        <v>-4494.7969647528171</v>
      </c>
      <c r="N57">
        <f t="shared" ca="1" si="173"/>
        <v>-4140.0302238708064</v>
      </c>
      <c r="O57">
        <f t="shared" ca="1" si="173"/>
        <v>-3785.2634829887957</v>
      </c>
      <c r="P57">
        <f t="shared" ca="1" si="173"/>
        <v>-3430.496742106784</v>
      </c>
      <c r="Q57">
        <f t="shared" ca="1" si="173"/>
        <v>-3075.7300012247733</v>
      </c>
      <c r="R57">
        <f t="shared" ca="1" si="173"/>
        <v>-2720.9632603427617</v>
      </c>
      <c r="S57">
        <f t="shared" ca="1" si="173"/>
        <v>-2366.196519460751</v>
      </c>
      <c r="T57">
        <f t="shared" ca="1" si="173"/>
        <v>-2011.4297785787398</v>
      </c>
      <c r="U57">
        <f t="shared" ca="1" si="173"/>
        <v>-1656.6630376967287</v>
      </c>
      <c r="V57">
        <f t="shared" ca="1" si="173"/>
        <v>-1301.8962968147177</v>
      </c>
      <c r="W57">
        <f t="shared" ca="1" si="173"/>
        <v>-947.12955593270681</v>
      </c>
      <c r="X57">
        <f t="shared" ca="1" si="173"/>
        <v>-592.36281505069633</v>
      </c>
      <c r="Y57">
        <f t="shared" ca="1" si="173"/>
        <v>-345.81620384140933</v>
      </c>
      <c r="Z57">
        <f t="shared" ca="1" si="173"/>
        <v>-207.48972230484543</v>
      </c>
      <c r="AA57">
        <f t="shared" ca="1" si="173"/>
        <v>-69.163240768281739</v>
      </c>
    </row>
    <row r="58" spans="1:27" ht="15" customHeight="1" x14ac:dyDescent="0.45">
      <c r="A58" s="82"/>
      <c r="B58" t="s">
        <v>196</v>
      </c>
      <c r="C58"/>
      <c r="D58"/>
      <c r="F58">
        <f ca="1">F23+F31</f>
        <v>0</v>
      </c>
      <c r="G58">
        <f t="shared" ref="G58:K58" ca="1" si="174">G23+G31</f>
        <v>0</v>
      </c>
      <c r="H58">
        <f t="shared" ca="1" si="174"/>
        <v>0</v>
      </c>
      <c r="I58">
        <f t="shared" ca="1" si="174"/>
        <v>0</v>
      </c>
      <c r="J58">
        <f t="shared" ca="1" si="174"/>
        <v>-7730.0092623373939</v>
      </c>
      <c r="K58">
        <f t="shared" ca="1" si="174"/>
        <v>-7730.0092623373939</v>
      </c>
      <c r="L58">
        <f t="shared" ref="L58:AA58" ca="1" si="175">L23+L31</f>
        <v>-7730.0092623373939</v>
      </c>
      <c r="M58">
        <f t="shared" ca="1" si="175"/>
        <v>-7730.0092623373939</v>
      </c>
      <c r="N58">
        <f t="shared" ca="1" si="175"/>
        <v>-7730.0092623373939</v>
      </c>
      <c r="O58">
        <f t="shared" ca="1" si="175"/>
        <v>-7730.0092623373939</v>
      </c>
      <c r="P58">
        <f t="shared" ca="1" si="175"/>
        <v>-7730.0092623373939</v>
      </c>
      <c r="Q58">
        <f t="shared" ca="1" si="175"/>
        <v>-7730.0092623373939</v>
      </c>
      <c r="R58">
        <f t="shared" ca="1" si="175"/>
        <v>-7730.0092623373939</v>
      </c>
      <c r="S58">
        <f t="shared" ca="1" si="175"/>
        <v>-7730.0092623373939</v>
      </c>
      <c r="T58">
        <f t="shared" ca="1" si="175"/>
        <v>-7730.0092623373939</v>
      </c>
      <c r="U58">
        <f t="shared" ca="1" si="175"/>
        <v>-7730.0092623373939</v>
      </c>
      <c r="V58">
        <f t="shared" ca="1" si="175"/>
        <v>-7730.0092623373939</v>
      </c>
      <c r="W58">
        <f t="shared" ca="1" si="175"/>
        <v>-7730.0092623373939</v>
      </c>
      <c r="X58">
        <f t="shared" ca="1" si="175"/>
        <v>-7730.0092623373703</v>
      </c>
      <c r="Y58">
        <f t="shared" ca="1" si="175"/>
        <v>-2034.2129637729986</v>
      </c>
      <c r="Z58">
        <f t="shared" ca="1" si="175"/>
        <v>-2034.2129637729986</v>
      </c>
      <c r="AA58">
        <f t="shared" ca="1" si="175"/>
        <v>-2034.2129637729922</v>
      </c>
    </row>
    <row r="59" spans="1:27" ht="15" customHeight="1" x14ac:dyDescent="0.45">
      <c r="A59" s="82"/>
      <c r="B59" t="s">
        <v>197</v>
      </c>
      <c r="C59"/>
      <c r="D59"/>
      <c r="F59">
        <f ca="1">SUM(F57:F58)</f>
        <v>0</v>
      </c>
      <c r="G59">
        <f t="shared" ref="G59:K59" ca="1" si="176">SUM(G57:G58)</f>
        <v>0</v>
      </c>
      <c r="H59">
        <f t="shared" ca="1" si="176"/>
        <v>-5736.4805578398555</v>
      </c>
      <c r="I59">
        <f t="shared" ca="1" si="176"/>
        <v>-5736.4805578398555</v>
      </c>
      <c r="J59">
        <f t="shared" ca="1" si="176"/>
        <v>-13289.106449736246</v>
      </c>
      <c r="K59">
        <f t="shared" ca="1" si="176"/>
        <v>-12934.339708854233</v>
      </c>
      <c r="L59">
        <f t="shared" ref="L59:AA59" ca="1" si="177">SUM(L57:L58)</f>
        <v>-12579.572967972221</v>
      </c>
      <c r="M59">
        <f t="shared" ca="1" si="177"/>
        <v>-12224.806227090212</v>
      </c>
      <c r="N59">
        <f t="shared" ca="1" si="177"/>
        <v>-11870.039486208199</v>
      </c>
      <c r="O59">
        <f t="shared" ca="1" si="177"/>
        <v>-11515.27274532619</v>
      </c>
      <c r="P59">
        <f t="shared" ca="1" si="177"/>
        <v>-11160.506004444178</v>
      </c>
      <c r="Q59">
        <f t="shared" ca="1" si="177"/>
        <v>-10805.739263562167</v>
      </c>
      <c r="R59">
        <f t="shared" ca="1" si="177"/>
        <v>-10450.972522680157</v>
      </c>
      <c r="S59">
        <f t="shared" ca="1" si="177"/>
        <v>-10096.205781798144</v>
      </c>
      <c r="T59">
        <f t="shared" ca="1" si="177"/>
        <v>-9741.4390409161333</v>
      </c>
      <c r="U59">
        <f t="shared" ca="1" si="177"/>
        <v>-9386.6723000341226</v>
      </c>
      <c r="V59">
        <f t="shared" ca="1" si="177"/>
        <v>-9031.9055591521119</v>
      </c>
      <c r="W59">
        <f t="shared" ca="1" si="177"/>
        <v>-8677.1388182701012</v>
      </c>
      <c r="X59">
        <f t="shared" ca="1" si="177"/>
        <v>-8322.3720773880668</v>
      </c>
      <c r="Y59">
        <f t="shared" ca="1" si="177"/>
        <v>-2380.0291676144079</v>
      </c>
      <c r="Z59">
        <f t="shared" ca="1" si="177"/>
        <v>-2241.7026860778442</v>
      </c>
      <c r="AA59">
        <f t="shared" ca="1" si="177"/>
        <v>-2103.3762045412741</v>
      </c>
    </row>
    <row r="60" spans="1:27" ht="15" customHeight="1" x14ac:dyDescent="0.45">
      <c r="A60" s="82"/>
      <c r="B60"/>
      <c r="C60"/>
      <c r="D60"/>
    </row>
    <row r="61" spans="1:27" ht="15" customHeight="1" x14ac:dyDescent="0.45">
      <c r="A61" s="82"/>
      <c r="B61" t="s">
        <v>259</v>
      </c>
      <c r="C61"/>
      <c r="D61"/>
      <c r="F61">
        <f ca="1">F16</f>
        <v>-44561.919999999998</v>
      </c>
      <c r="G61">
        <f t="shared" ref="G61:K61" ca="1" si="178">G16</f>
        <v>-193810.73815585554</v>
      </c>
      <c r="H61">
        <f t="shared" ca="1" si="178"/>
        <v>17194.713247720298</v>
      </c>
      <c r="I61">
        <f t="shared" ca="1" si="178"/>
        <v>21258.105955543011</v>
      </c>
      <c r="J61">
        <f t="shared" ca="1" si="178"/>
        <v>27571.846987497018</v>
      </c>
      <c r="K61">
        <f t="shared" ca="1" si="178"/>
        <v>27259.41445704384</v>
      </c>
      <c r="L61">
        <f t="shared" ref="L61:AA61" ca="1" si="179">L16</f>
        <v>27436.780255580037</v>
      </c>
      <c r="M61">
        <f t="shared" ca="1" si="179"/>
        <v>27635.395879018881</v>
      </c>
      <c r="N61">
        <f t="shared" ca="1" si="179"/>
        <v>27856.11132035646</v>
      </c>
      <c r="O61">
        <f t="shared" ca="1" si="179"/>
        <v>28099.810572308754</v>
      </c>
      <c r="P61">
        <f t="shared" ca="1" si="179"/>
        <v>28367.412987300308</v>
      </c>
      <c r="Q61">
        <f t="shared" ca="1" si="179"/>
        <v>28659.874691852732</v>
      </c>
      <c r="R61">
        <f t="shared" ca="1" si="179"/>
        <v>28978.190057548447</v>
      </c>
      <c r="S61">
        <f t="shared" ca="1" si="179"/>
        <v>29323.393230833164</v>
      </c>
      <c r="T61">
        <f t="shared" ca="1" si="179"/>
        <v>29696.559724010469</v>
      </c>
      <c r="U61">
        <f t="shared" ca="1" si="179"/>
        <v>30098.808069876064</v>
      </c>
      <c r="V61">
        <f t="shared" ca="1" si="179"/>
        <v>30531.301542537465</v>
      </c>
      <c r="W61">
        <f t="shared" ca="1" si="179"/>
        <v>30995.249947066535</v>
      </c>
      <c r="X61">
        <f t="shared" ca="1" si="179"/>
        <v>31495.403715843495</v>
      </c>
      <c r="Y61">
        <f t="shared" ca="1" si="179"/>
        <v>27616.587303100183</v>
      </c>
      <c r="Z61">
        <f t="shared" ca="1" si="179"/>
        <v>28637.111771688826</v>
      </c>
      <c r="AA61">
        <f t="shared" ca="1" si="179"/>
        <v>29457.102616222182</v>
      </c>
    </row>
    <row r="62" spans="1:27" ht="15" customHeight="1" x14ac:dyDescent="0.45">
      <c r="A62" s="82"/>
      <c r="B62"/>
      <c r="C62"/>
      <c r="D62"/>
    </row>
    <row r="63" spans="1:27" ht="15" customHeight="1" x14ac:dyDescent="0.45">
      <c r="A63" s="82"/>
      <c r="B63" t="s">
        <v>249</v>
      </c>
      <c r="C63"/>
      <c r="D63"/>
      <c r="F63" t="str">
        <f ca="1">IFERROR(F61/F59/F8*-1,"na")</f>
        <v>na</v>
      </c>
      <c r="G63" t="str">
        <f t="shared" ref="G63:K63" ca="1" si="180">IFERROR(G61/G59/G8*-1,"na")</f>
        <v>na</v>
      </c>
      <c r="H63">
        <f t="shared" ca="1" si="180"/>
        <v>2.9974324979138749</v>
      </c>
      <c r="I63">
        <f t="shared" ca="1" si="180"/>
        <v>3.7057749505470339</v>
      </c>
      <c r="J63">
        <f t="shared" ca="1" si="180"/>
        <v>2.0747705718050176</v>
      </c>
      <c r="K63">
        <f t="shared" ca="1" si="180"/>
        <v>2.1075226931285362</v>
      </c>
      <c r="L63">
        <f t="shared" ref="L63:AA63" ca="1" si="181">IFERROR(L61/L59/L8*-1,"na")</f>
        <v>2.1810581587653641</v>
      </c>
      <c r="M63">
        <f t="shared" ca="1" si="181"/>
        <v>2.2605999118234488</v>
      </c>
      <c r="N63">
        <f t="shared" ca="1" si="181"/>
        <v>2.3467581007394691</v>
      </c>
      <c r="O63">
        <f t="shared" ca="1" si="181"/>
        <v>2.4402210172324299</v>
      </c>
      <c r="P63">
        <f t="shared" ca="1" si="181"/>
        <v>2.5417676381343499</v>
      </c>
      <c r="Q63">
        <f t="shared" ca="1" si="181"/>
        <v>2.6522826428448227</v>
      </c>
      <c r="R63">
        <f t="shared" ca="1" si="181"/>
        <v>2.7727744948770545</v>
      </c>
      <c r="S63">
        <f t="shared" ca="1" si="181"/>
        <v>2.9043973413951791</v>
      </c>
      <c r="T63">
        <f t="shared" ca="1" si="181"/>
        <v>3.0484777042979534</v>
      </c>
      <c r="U63">
        <f t="shared" ca="1" si="181"/>
        <v>3.2065472307759855</v>
      </c>
      <c r="V63">
        <f t="shared" ca="1" si="181"/>
        <v>3.3803831697066209</v>
      </c>
      <c r="W63">
        <f t="shared" ca="1" si="181"/>
        <v>3.5720587852996726</v>
      </c>
      <c r="X63">
        <f t="shared" ca="1" si="181"/>
        <v>3.7844262937266033</v>
      </c>
      <c r="Y63">
        <f t="shared" ca="1" si="181"/>
        <v>11.603465906588582</v>
      </c>
      <c r="Z63">
        <f t="shared" ca="1" si="181"/>
        <v>12.774714483566617</v>
      </c>
      <c r="AA63">
        <f t="shared" ca="1" si="181"/>
        <v>14.004676173773911</v>
      </c>
    </row>
    <row r="64" spans="1:27" ht="15" customHeight="1" x14ac:dyDescent="0.45">
      <c r="A64" s="82"/>
      <c r="B64" t="s">
        <v>198</v>
      </c>
      <c r="C64" t="s">
        <v>199</v>
      </c>
      <c r="D64" s="86">
        <f>'Assumptions and Outputs'!D81</f>
        <v>1.25</v>
      </c>
      <c r="F64">
        <f ca="1">IF($D$64&gt;F63,1,)</f>
        <v>0</v>
      </c>
      <c r="G64">
        <f t="shared" ref="G64:K64" ca="1" si="182">IF($D$64&gt;G63,1,)</f>
        <v>0</v>
      </c>
      <c r="H64">
        <f t="shared" ca="1" si="182"/>
        <v>0</v>
      </c>
      <c r="I64">
        <f t="shared" ca="1" si="182"/>
        <v>0</v>
      </c>
      <c r="J64">
        <f t="shared" ca="1" si="182"/>
        <v>0</v>
      </c>
      <c r="K64">
        <f t="shared" ca="1" si="182"/>
        <v>0</v>
      </c>
      <c r="L64">
        <f t="shared" ref="L64:AA64" ca="1" si="183">IF($D$64&gt;L63,1,)</f>
        <v>0</v>
      </c>
      <c r="M64">
        <f t="shared" ca="1" si="183"/>
        <v>0</v>
      </c>
      <c r="N64">
        <f t="shared" ca="1" si="183"/>
        <v>0</v>
      </c>
      <c r="O64">
        <f t="shared" ca="1" si="183"/>
        <v>0</v>
      </c>
      <c r="P64">
        <f t="shared" ca="1" si="183"/>
        <v>0</v>
      </c>
      <c r="Q64">
        <f t="shared" ca="1" si="183"/>
        <v>0</v>
      </c>
      <c r="R64">
        <f t="shared" ca="1" si="183"/>
        <v>0</v>
      </c>
      <c r="S64">
        <f t="shared" ca="1" si="183"/>
        <v>0</v>
      </c>
      <c r="T64">
        <f t="shared" ca="1" si="183"/>
        <v>0</v>
      </c>
      <c r="U64">
        <f t="shared" ca="1" si="183"/>
        <v>0</v>
      </c>
      <c r="V64">
        <f t="shared" ca="1" si="183"/>
        <v>0</v>
      </c>
      <c r="W64">
        <f t="shared" ca="1" si="183"/>
        <v>0</v>
      </c>
      <c r="X64">
        <f t="shared" ca="1" si="183"/>
        <v>0</v>
      </c>
      <c r="Y64">
        <f t="shared" ca="1" si="183"/>
        <v>0</v>
      </c>
      <c r="Z64">
        <f t="shared" ca="1" si="183"/>
        <v>0</v>
      </c>
      <c r="AA64">
        <f t="shared" ca="1" si="183"/>
        <v>0</v>
      </c>
    </row>
    <row r="65" spans="1:27" ht="15" customHeight="1" x14ac:dyDescent="0.45">
      <c r="A65" s="82"/>
      <c r="B65"/>
      <c r="C65"/>
      <c r="D65" s="86"/>
    </row>
    <row r="66" spans="1:27" ht="15" customHeight="1" x14ac:dyDescent="0.45">
      <c r="A66" s="82" t="s">
        <v>254</v>
      </c>
      <c r="B66"/>
      <c r="C66"/>
      <c r="D66"/>
    </row>
    <row r="67" spans="1:27" ht="15" customHeight="1" x14ac:dyDescent="0.45">
      <c r="A67" s="82"/>
      <c r="B67" t="s">
        <v>251</v>
      </c>
      <c r="C67"/>
      <c r="D67"/>
      <c r="F67">
        <f ca="1">F23+F25</f>
        <v>0</v>
      </c>
      <c r="G67">
        <f t="shared" ref="G67:K67" ca="1" si="184">G23+G25</f>
        <v>0</v>
      </c>
      <c r="H67">
        <f t="shared" ca="1" si="184"/>
        <v>-3246.6038901817051</v>
      </c>
      <c r="I67">
        <f t="shared" ca="1" si="184"/>
        <v>-3246.6038901817051</v>
      </c>
      <c r="J67">
        <f t="shared" ca="1" si="184"/>
        <v>-8834.1800590733765</v>
      </c>
      <c r="K67">
        <f t="shared" ca="1" si="184"/>
        <v>-8617.7397997279295</v>
      </c>
      <c r="L67">
        <f t="shared" ref="L67:AA67" ca="1" si="185">L23+L25</f>
        <v>-8401.2995403824825</v>
      </c>
      <c r="M67">
        <f t="shared" ca="1" si="185"/>
        <v>-8184.8592810370355</v>
      </c>
      <c r="N67">
        <f t="shared" ca="1" si="185"/>
        <v>-7968.4190216915886</v>
      </c>
      <c r="O67">
        <f t="shared" ca="1" si="185"/>
        <v>-7751.9787623461416</v>
      </c>
      <c r="P67">
        <f t="shared" ca="1" si="185"/>
        <v>-7535.5385030006946</v>
      </c>
      <c r="Q67">
        <f t="shared" ca="1" si="185"/>
        <v>-7319.0982436552476</v>
      </c>
      <c r="R67">
        <f t="shared" ca="1" si="185"/>
        <v>-7102.6579843098007</v>
      </c>
      <c r="S67">
        <f t="shared" ca="1" si="185"/>
        <v>-6886.2177249643537</v>
      </c>
      <c r="T67">
        <f t="shared" ca="1" si="185"/>
        <v>-6669.7774656189058</v>
      </c>
      <c r="U67">
        <f t="shared" ca="1" si="185"/>
        <v>-6453.3372062734588</v>
      </c>
      <c r="V67">
        <f t="shared" ca="1" si="185"/>
        <v>-6236.8969469280119</v>
      </c>
      <c r="W67">
        <f t="shared" ca="1" si="185"/>
        <v>-6020.4566875825649</v>
      </c>
      <c r="X67">
        <f t="shared" ca="1" si="185"/>
        <v>-5804.0164282370952</v>
      </c>
      <c r="Y67">
        <f t="shared" ca="1" si="185"/>
        <v>0</v>
      </c>
      <c r="Z67">
        <f t="shared" ca="1" si="185"/>
        <v>0</v>
      </c>
      <c r="AA67">
        <f t="shared" ca="1" si="185"/>
        <v>0</v>
      </c>
    </row>
    <row r="68" spans="1:27" ht="15" customHeight="1" x14ac:dyDescent="0.45">
      <c r="A68" s="82"/>
      <c r="B68" t="s">
        <v>255</v>
      </c>
      <c r="C68"/>
      <c r="D68"/>
      <c r="F68">
        <f ca="1">F31+F33</f>
        <v>0</v>
      </c>
      <c r="G68">
        <f t="shared" ref="G68:K68" ca="1" si="186">G31+G33</f>
        <v>0</v>
      </c>
      <c r="H68">
        <f t="shared" ca="1" si="186"/>
        <v>-2489.8766676581504</v>
      </c>
      <c r="I68">
        <f t="shared" ca="1" si="186"/>
        <v>-2489.8766676581504</v>
      </c>
      <c r="J68">
        <f t="shared" ca="1" si="186"/>
        <v>-4454.9263906628676</v>
      </c>
      <c r="K68">
        <f t="shared" ca="1" si="186"/>
        <v>-4316.5999091263038</v>
      </c>
      <c r="L68">
        <f t="shared" ref="L68:AA68" ca="1" si="187">L31+L33</f>
        <v>-4178.2734275897392</v>
      </c>
      <c r="M68">
        <f t="shared" ca="1" si="187"/>
        <v>-4039.9469460531755</v>
      </c>
      <c r="N68">
        <f t="shared" ca="1" si="187"/>
        <v>-3901.6204645166117</v>
      </c>
      <c r="O68">
        <f t="shared" ca="1" si="187"/>
        <v>-3763.293982980048</v>
      </c>
      <c r="P68">
        <f t="shared" ca="1" si="187"/>
        <v>-3624.9675014434833</v>
      </c>
      <c r="Q68">
        <f t="shared" ca="1" si="187"/>
        <v>-3486.6410199069196</v>
      </c>
      <c r="R68">
        <f t="shared" ca="1" si="187"/>
        <v>-3348.3145383703554</v>
      </c>
      <c r="S68">
        <f t="shared" ca="1" si="187"/>
        <v>-3209.9880568337917</v>
      </c>
      <c r="T68">
        <f t="shared" ca="1" si="187"/>
        <v>-3071.6615752972275</v>
      </c>
      <c r="U68">
        <f t="shared" ca="1" si="187"/>
        <v>-2933.3350937606638</v>
      </c>
      <c r="V68">
        <f t="shared" ca="1" si="187"/>
        <v>-2795.0086122240996</v>
      </c>
      <c r="W68">
        <f t="shared" ca="1" si="187"/>
        <v>-2656.6821306875358</v>
      </c>
      <c r="X68">
        <f t="shared" ca="1" si="187"/>
        <v>-2518.3556491509717</v>
      </c>
      <c r="Y68">
        <f t="shared" ca="1" si="187"/>
        <v>-2380.0291676144079</v>
      </c>
      <c r="Z68">
        <f t="shared" ca="1" si="187"/>
        <v>-2241.7026860778442</v>
      </c>
      <c r="AA68">
        <f t="shared" ca="1" si="187"/>
        <v>-2103.3762045412741</v>
      </c>
    </row>
    <row r="69" spans="1:27" ht="15" customHeight="1" x14ac:dyDescent="0.45">
      <c r="A69" s="82"/>
      <c r="B69"/>
      <c r="C69"/>
      <c r="D69"/>
    </row>
    <row r="70" spans="1:27" ht="15" customHeight="1" x14ac:dyDescent="0.45">
      <c r="A70" s="82"/>
      <c r="B70" t="s">
        <v>257</v>
      </c>
      <c r="C70"/>
      <c r="D70"/>
      <c r="F70">
        <f ca="1">F61</f>
        <v>-44561.919999999998</v>
      </c>
      <c r="G70">
        <f t="shared" ref="G70:K70" ca="1" si="188">G61</f>
        <v>-193810.73815585554</v>
      </c>
      <c r="H70">
        <f t="shared" ca="1" si="188"/>
        <v>17194.713247720298</v>
      </c>
      <c r="I70">
        <f t="shared" ca="1" si="188"/>
        <v>21258.105955543011</v>
      </c>
      <c r="J70">
        <f t="shared" ca="1" si="188"/>
        <v>27571.846987497018</v>
      </c>
      <c r="K70">
        <f t="shared" ca="1" si="188"/>
        <v>27259.41445704384</v>
      </c>
      <c r="L70">
        <f t="shared" ref="L70:AA70" ca="1" si="189">L61</f>
        <v>27436.780255580037</v>
      </c>
      <c r="M70">
        <f t="shared" ca="1" si="189"/>
        <v>27635.395879018881</v>
      </c>
      <c r="N70">
        <f t="shared" ca="1" si="189"/>
        <v>27856.11132035646</v>
      </c>
      <c r="O70">
        <f t="shared" ca="1" si="189"/>
        <v>28099.810572308754</v>
      </c>
      <c r="P70">
        <f t="shared" ca="1" si="189"/>
        <v>28367.412987300308</v>
      </c>
      <c r="Q70">
        <f t="shared" ca="1" si="189"/>
        <v>28659.874691852732</v>
      </c>
      <c r="R70">
        <f t="shared" ca="1" si="189"/>
        <v>28978.190057548447</v>
      </c>
      <c r="S70">
        <f t="shared" ca="1" si="189"/>
        <v>29323.393230833164</v>
      </c>
      <c r="T70">
        <f t="shared" ca="1" si="189"/>
        <v>29696.559724010469</v>
      </c>
      <c r="U70">
        <f t="shared" ca="1" si="189"/>
        <v>30098.808069876064</v>
      </c>
      <c r="V70">
        <f t="shared" ca="1" si="189"/>
        <v>30531.301542537465</v>
      </c>
      <c r="W70">
        <f t="shared" ca="1" si="189"/>
        <v>30995.249947066535</v>
      </c>
      <c r="X70">
        <f t="shared" ca="1" si="189"/>
        <v>31495.403715843495</v>
      </c>
      <c r="Y70">
        <f t="shared" ca="1" si="189"/>
        <v>27616.587303100183</v>
      </c>
      <c r="Z70">
        <f t="shared" ca="1" si="189"/>
        <v>28637.111771688826</v>
      </c>
      <c r="AA70">
        <f t="shared" ca="1" si="189"/>
        <v>29457.102616222182</v>
      </c>
    </row>
    <row r="71" spans="1:27" ht="15" customHeight="1" x14ac:dyDescent="0.45">
      <c r="A71" s="82"/>
      <c r="B71" t="s">
        <v>250</v>
      </c>
      <c r="C71"/>
      <c r="D71"/>
      <c r="F71" t="str">
        <f ca="1">IFERROR(F70/F67/F8*-1,"na")</f>
        <v>na</v>
      </c>
      <c r="G71" t="str">
        <f t="shared" ref="G71:K71" ca="1" si="190">IFERROR(G70/G67/G8*-1,"na")</f>
        <v>na</v>
      </c>
      <c r="H71">
        <f t="shared" ca="1" si="190"/>
        <v>5.2962153158628622</v>
      </c>
      <c r="I71">
        <f t="shared" ca="1" si="190"/>
        <v>6.5477978449515266</v>
      </c>
      <c r="J71">
        <f t="shared" ca="1" si="190"/>
        <v>3.1210419985925721</v>
      </c>
      <c r="K71">
        <f t="shared" ca="1" si="190"/>
        <v>3.1631744622765758</v>
      </c>
      <c r="L71">
        <f t="shared" ref="L71:AA71" ca="1" si="191">IFERROR(L70/L67/L8*-1,"na")</f>
        <v>3.2657781244079929</v>
      </c>
      <c r="M71">
        <f t="shared" ca="1" si="191"/>
        <v>3.376404520850532</v>
      </c>
      <c r="N71">
        <f t="shared" ca="1" si="191"/>
        <v>3.495814068578309</v>
      </c>
      <c r="O71">
        <f t="shared" ca="1" si="191"/>
        <v>3.624856495840596</v>
      </c>
      <c r="P71">
        <f t="shared" ca="1" si="191"/>
        <v>3.7644838488986871</v>
      </c>
      <c r="Q71">
        <f t="shared" ca="1" si="191"/>
        <v>3.915765814005475</v>
      </c>
      <c r="R71">
        <f t="shared" ca="1" si="191"/>
        <v>4.079907848802943</v>
      </c>
      <c r="S71">
        <f t="shared" ca="1" si="191"/>
        <v>4.2582727415847073</v>
      </c>
      <c r="T71">
        <f t="shared" ca="1" si="191"/>
        <v>4.4524063774374891</v>
      </c>
      <c r="U71">
        <f t="shared" ca="1" si="191"/>
        <v>4.6640686993105245</v>
      </c>
      <c r="V71">
        <f t="shared" ca="1" si="191"/>
        <v>4.8952711263853219</v>
      </c>
      <c r="W71">
        <f t="shared" ca="1" si="191"/>
        <v>5.1483220552014748</v>
      </c>
      <c r="X71">
        <f t="shared" ca="1" si="191"/>
        <v>5.4264842467735521</v>
      </c>
      <c r="Y71" t="str">
        <f t="shared" ca="1" si="191"/>
        <v>na</v>
      </c>
      <c r="Z71" t="str">
        <f t="shared" ca="1" si="191"/>
        <v>na</v>
      </c>
      <c r="AA71" t="str">
        <f t="shared" ca="1" si="191"/>
        <v>na</v>
      </c>
    </row>
    <row r="72" spans="1:27" ht="15" customHeight="1" x14ac:dyDescent="0.45">
      <c r="A72" s="82"/>
      <c r="B72" t="s">
        <v>198</v>
      </c>
      <c r="C72" t="s">
        <v>199</v>
      </c>
      <c r="D72" s="86">
        <f>'Assumptions and Outputs'!D82</f>
        <v>1.5</v>
      </c>
      <c r="F72">
        <f ca="1">IF($D$72&gt;F71,1,0)</f>
        <v>0</v>
      </c>
      <c r="G72">
        <f t="shared" ref="G72:K72" ca="1" si="192">IF($D$72&gt;G71,1,0)</f>
        <v>0</v>
      </c>
      <c r="H72">
        <f t="shared" ca="1" si="192"/>
        <v>0</v>
      </c>
      <c r="I72">
        <f t="shared" ca="1" si="192"/>
        <v>0</v>
      </c>
      <c r="J72">
        <f t="shared" ca="1" si="192"/>
        <v>0</v>
      </c>
      <c r="K72">
        <f t="shared" ca="1" si="192"/>
        <v>0</v>
      </c>
      <c r="L72">
        <f t="shared" ref="L72:AA72" ca="1" si="193">IF($D$72&gt;L71,1,0)</f>
        <v>0</v>
      </c>
      <c r="M72">
        <f t="shared" ca="1" si="193"/>
        <v>0</v>
      </c>
      <c r="N72">
        <f t="shared" ca="1" si="193"/>
        <v>0</v>
      </c>
      <c r="O72">
        <f t="shared" ca="1" si="193"/>
        <v>0</v>
      </c>
      <c r="P72">
        <f t="shared" ca="1" si="193"/>
        <v>0</v>
      </c>
      <c r="Q72">
        <f t="shared" ca="1" si="193"/>
        <v>0</v>
      </c>
      <c r="R72">
        <f t="shared" ca="1" si="193"/>
        <v>0</v>
      </c>
      <c r="S72">
        <f t="shared" ca="1" si="193"/>
        <v>0</v>
      </c>
      <c r="T72">
        <f t="shared" ca="1" si="193"/>
        <v>0</v>
      </c>
      <c r="U72">
        <f t="shared" ca="1" si="193"/>
        <v>0</v>
      </c>
      <c r="V72">
        <f t="shared" ca="1" si="193"/>
        <v>0</v>
      </c>
      <c r="W72">
        <f t="shared" ca="1" si="193"/>
        <v>0</v>
      </c>
      <c r="X72">
        <f t="shared" ca="1" si="193"/>
        <v>0</v>
      </c>
      <c r="Y72">
        <f t="shared" ca="1" si="193"/>
        <v>0</v>
      </c>
      <c r="Z72">
        <f t="shared" ca="1" si="193"/>
        <v>0</v>
      </c>
      <c r="AA72">
        <f t="shared" ca="1" si="193"/>
        <v>0</v>
      </c>
    </row>
    <row r="73" spans="1:27" ht="15" customHeight="1" x14ac:dyDescent="0.45">
      <c r="A73" s="82"/>
      <c r="B73"/>
      <c r="C73"/>
      <c r="D73"/>
    </row>
    <row r="74" spans="1:27" ht="15" customHeight="1" x14ac:dyDescent="0.45">
      <c r="A74" s="82"/>
      <c r="B74" t="s">
        <v>258</v>
      </c>
      <c r="C74"/>
      <c r="D74"/>
      <c r="F74">
        <f ca="1">F16+F23+F25</f>
        <v>-44561.919999999998</v>
      </c>
      <c r="G74">
        <f t="shared" ref="G74:K74" ca="1" si="194">G16+G23+G25</f>
        <v>-193810.73815585554</v>
      </c>
      <c r="H74">
        <f t="shared" ca="1" si="194"/>
        <v>13948.109357538593</v>
      </c>
      <c r="I74">
        <f t="shared" ca="1" si="194"/>
        <v>18011.502065361306</v>
      </c>
      <c r="J74">
        <f t="shared" ca="1" si="194"/>
        <v>18737.666928423638</v>
      </c>
      <c r="K74">
        <f t="shared" ca="1" si="194"/>
        <v>18641.674657315911</v>
      </c>
      <c r="L74">
        <f t="shared" ref="L74:AA74" ca="1" si="195">L16+L23+L25</f>
        <v>19035.480715197551</v>
      </c>
      <c r="M74">
        <f t="shared" ca="1" si="195"/>
        <v>19450.536597981845</v>
      </c>
      <c r="N74">
        <f t="shared" ca="1" si="195"/>
        <v>19887.692298664871</v>
      </c>
      <c r="O74">
        <f t="shared" ca="1" si="195"/>
        <v>20347.831809962612</v>
      </c>
      <c r="P74">
        <f t="shared" ca="1" si="195"/>
        <v>20831.874484299617</v>
      </c>
      <c r="Q74">
        <f t="shared" ca="1" si="195"/>
        <v>21340.776448197485</v>
      </c>
      <c r="R74">
        <f t="shared" ca="1" si="195"/>
        <v>21875.532073238646</v>
      </c>
      <c r="S74">
        <f t="shared" ca="1" si="195"/>
        <v>22437.17550586881</v>
      </c>
      <c r="T74">
        <f t="shared" ca="1" si="195"/>
        <v>23026.782258391562</v>
      </c>
      <c r="U74">
        <f t="shared" ca="1" si="195"/>
        <v>23645.470863602608</v>
      </c>
      <c r="V74">
        <f t="shared" ca="1" si="195"/>
        <v>24294.404595609456</v>
      </c>
      <c r="W74">
        <f t="shared" ca="1" si="195"/>
        <v>24974.793259483969</v>
      </c>
      <c r="X74">
        <f t="shared" ca="1" si="195"/>
        <v>25691.387287606402</v>
      </c>
      <c r="Y74">
        <f t="shared" ca="1" si="195"/>
        <v>27616.587303100183</v>
      </c>
      <c r="Z74">
        <f t="shared" ca="1" si="195"/>
        <v>28637.111771688826</v>
      </c>
      <c r="AA74">
        <f t="shared" ca="1" si="195"/>
        <v>29457.102616222182</v>
      </c>
    </row>
    <row r="75" spans="1:27" ht="15" customHeight="1" x14ac:dyDescent="0.45">
      <c r="A75" s="82"/>
      <c r="B75" t="s">
        <v>256</v>
      </c>
      <c r="C75"/>
      <c r="D75"/>
      <c r="F75" t="str">
        <f ca="1">IFERROR(F74/F68/F8*-1,"na")</f>
        <v>na</v>
      </c>
      <c r="G75" t="str">
        <f t="shared" ref="G75:K75" ca="1" si="196">IFERROR(G74/G68/G8*-1,"na")</f>
        <v>na</v>
      </c>
      <c r="H75">
        <f t="shared" ca="1" si="196"/>
        <v>5.6019278138211828</v>
      </c>
      <c r="I75">
        <f t="shared" ca="1" si="196"/>
        <v>7.2338932684171846</v>
      </c>
      <c r="J75">
        <f t="shared" ca="1" si="196"/>
        <v>4.2060553385789117</v>
      </c>
      <c r="K75">
        <f t="shared" ca="1" si="196"/>
        <v>4.3186014571105007</v>
      </c>
      <c r="L75">
        <f t="shared" ref="L75:AA75" ca="1" si="197">IFERROR(L74/L68/L8*-1,"na")</f>
        <v>4.5558245636830605</v>
      </c>
      <c r="M75">
        <f t="shared" ca="1" si="197"/>
        <v>4.8145524824240669</v>
      </c>
      <c r="N75">
        <f t="shared" ca="1" si="197"/>
        <v>5.0972903386000779</v>
      </c>
      <c r="O75">
        <f t="shared" ca="1" si="197"/>
        <v>5.4069206131618053</v>
      </c>
      <c r="P75">
        <f t="shared" ca="1" si="197"/>
        <v>5.746775516195453</v>
      </c>
      <c r="Q75">
        <f t="shared" ca="1" si="197"/>
        <v>6.1207266037291115</v>
      </c>
      <c r="R75">
        <f t="shared" ca="1" si="197"/>
        <v>6.5332966250791955</v>
      </c>
      <c r="S75">
        <f t="shared" ca="1" si="197"/>
        <v>6.9898003072322874</v>
      </c>
      <c r="T75">
        <f t="shared" ca="1" si="197"/>
        <v>7.4965231989020111</v>
      </c>
      <c r="U75">
        <f t="shared" ca="1" si="197"/>
        <v>8.0609511384831531</v>
      </c>
      <c r="V75">
        <f t="shared" ca="1" si="197"/>
        <v>8.6920678846414834</v>
      </c>
      <c r="W75">
        <f t="shared" ca="1" si="197"/>
        <v>9.4007457538853618</v>
      </c>
      <c r="X75">
        <f t="shared" ca="1" si="197"/>
        <v>10.201651739009895</v>
      </c>
      <c r="Y75">
        <f t="shared" ca="1" si="197"/>
        <v>11.603465906588582</v>
      </c>
      <c r="Z75">
        <f t="shared" ca="1" si="197"/>
        <v>12.774714483566617</v>
      </c>
      <c r="AA75">
        <f t="shared" ca="1" si="197"/>
        <v>14.004676173773911</v>
      </c>
    </row>
    <row r="76" spans="1:27" ht="15" customHeight="1" x14ac:dyDescent="0.45">
      <c r="A76" s="82"/>
      <c r="B76" t="s">
        <v>198</v>
      </c>
      <c r="C76" t="s">
        <v>199</v>
      </c>
      <c r="D76" s="86">
        <f>'Assumptions and Outputs'!D83</f>
        <v>2</v>
      </c>
      <c r="F76">
        <f ca="1">IF($D$76&gt;F75,1,0)</f>
        <v>0</v>
      </c>
      <c r="G76">
        <f t="shared" ref="G76:K76" ca="1" si="198">IF($D$76&gt;G75,1,0)</f>
        <v>0</v>
      </c>
      <c r="H76">
        <f t="shared" ca="1" si="198"/>
        <v>0</v>
      </c>
      <c r="I76">
        <f t="shared" ca="1" si="198"/>
        <v>0</v>
      </c>
      <c r="J76">
        <f t="shared" ca="1" si="198"/>
        <v>0</v>
      </c>
      <c r="K76">
        <f t="shared" ca="1" si="198"/>
        <v>0</v>
      </c>
      <c r="L76">
        <f t="shared" ref="L76:AA76" ca="1" si="199">IF($D$76&gt;L75,1,0)</f>
        <v>0</v>
      </c>
      <c r="M76">
        <f t="shared" ca="1" si="199"/>
        <v>0</v>
      </c>
      <c r="N76">
        <f t="shared" ca="1" si="199"/>
        <v>0</v>
      </c>
      <c r="O76">
        <f t="shared" ca="1" si="199"/>
        <v>0</v>
      </c>
      <c r="P76">
        <f t="shared" ca="1" si="199"/>
        <v>0</v>
      </c>
      <c r="Q76">
        <f t="shared" ca="1" si="199"/>
        <v>0</v>
      </c>
      <c r="R76">
        <f t="shared" ca="1" si="199"/>
        <v>0</v>
      </c>
      <c r="S76">
        <f t="shared" ca="1" si="199"/>
        <v>0</v>
      </c>
      <c r="T76">
        <f t="shared" ca="1" si="199"/>
        <v>0</v>
      </c>
      <c r="U76">
        <f t="shared" ca="1" si="199"/>
        <v>0</v>
      </c>
      <c r="V76">
        <f t="shared" ca="1" si="199"/>
        <v>0</v>
      </c>
      <c r="W76">
        <f t="shared" ca="1" si="199"/>
        <v>0</v>
      </c>
      <c r="X76">
        <f t="shared" ca="1" si="199"/>
        <v>0</v>
      </c>
      <c r="Y76">
        <f t="shared" ca="1" si="199"/>
        <v>0</v>
      </c>
      <c r="Z76">
        <f t="shared" ca="1" si="199"/>
        <v>0</v>
      </c>
      <c r="AA76">
        <f t="shared" ca="1" si="199"/>
        <v>0</v>
      </c>
    </row>
    <row r="77" spans="1:27" ht="15" customHeight="1" x14ac:dyDescent="0.45">
      <c r="A77" s="82"/>
      <c r="B77"/>
      <c r="C77"/>
      <c r="D77"/>
    </row>
    <row r="78" spans="1:27" ht="15" customHeight="1" x14ac:dyDescent="0.45">
      <c r="A78" s="82" t="s">
        <v>263</v>
      </c>
      <c r="B78"/>
      <c r="C78"/>
      <c r="D78"/>
    </row>
    <row r="79" spans="1:27" ht="15" customHeight="1" x14ac:dyDescent="0.45">
      <c r="A79" s="82"/>
      <c r="B79" t="s">
        <v>264</v>
      </c>
      <c r="C79" t="s">
        <v>313</v>
      </c>
      <c r="D79" s="91">
        <f>'Assumptions and Outputs'!D77</f>
        <v>4.7E-2</v>
      </c>
      <c r="F79">
        <f ca="1">NPV($D$79,G61:$AA$61)</f>
        <v>148041.67445066612</v>
      </c>
      <c r="G79">
        <f ca="1">NPV($D$79,H61:$AA$61)</f>
        <v>348810.37130570301</v>
      </c>
      <c r="H79">
        <f ca="1">NPV($D$79,I61:$AA$61)</f>
        <v>348009.74550935067</v>
      </c>
      <c r="I79">
        <f ca="1">NPV($D$79,J61:$AA$61)</f>
        <v>343108.09759274719</v>
      </c>
      <c r="J79">
        <f ca="1">NPV($D$79,K61:$AA$61)</f>
        <v>331662.33119210909</v>
      </c>
      <c r="K79">
        <f ca="1">NPV($D$79,L61:$AA$61)</f>
        <v>319991.04630109452</v>
      </c>
      <c r="L79">
        <f ca="1">NPV($D$79,M61:$AA$61)</f>
        <v>307593.84522166586</v>
      </c>
      <c r="M79">
        <f ca="1">NPV($D$79,N61:$AA$61)</f>
        <v>294415.36006806523</v>
      </c>
      <c r="N79">
        <f ca="1">NPV($D$79,O61:$AA$61)</f>
        <v>280396.77067090786</v>
      </c>
      <c r="O79">
        <f ca="1">NPV($D$79,P61:$AA$61)</f>
        <v>265475.60832013172</v>
      </c>
      <c r="P79">
        <f ca="1">NPV($D$79,Q61:$AA$61)</f>
        <v>249585.54892387759</v>
      </c>
      <c r="Q79">
        <f ca="1">NPV($D$79,R61:$AA$61)</f>
        <v>232656.1950314471</v>
      </c>
      <c r="R79">
        <f ca="1">NPV($D$79,S61:$AA$61)</f>
        <v>214612.84614037661</v>
      </c>
      <c r="S79">
        <f ca="1">NPV($D$79,T61:$AA$61)</f>
        <v>195376.25667814113</v>
      </c>
      <c r="T79">
        <f ca="1">NPV($D$79,U61:$AA$61)</f>
        <v>174862.38101800333</v>
      </c>
      <c r="U79">
        <f ca="1">NPV($D$79,V61:$AA$61)</f>
        <v>152982.10485597336</v>
      </c>
      <c r="V79">
        <f ca="1">NPV($D$79,W61:$AA$61)</f>
        <v>129640.9622416666</v>
      </c>
      <c r="W79">
        <f ca="1">NPV($D$79,X61:$AA$61)</f>
        <v>104738.83751995843</v>
      </c>
      <c r="X79">
        <f ca="1">NPV($D$79,Y61:$AA$61)</f>
        <v>78166.159167552949</v>
      </c>
      <c r="Y79">
        <f ca="1">NPV($D$79,Z61:$AA$61)</f>
        <v>54223.381345327747</v>
      </c>
      <c r="Z79">
        <f ca="1">NPV($D$79,AA61:$AA$61)</f>
        <v>28134.768496869325</v>
      </c>
      <c r="AA79">
        <f ca="1">NPV($D$79,$AA61:AB$61)</f>
        <v>28134.768496869325</v>
      </c>
    </row>
    <row r="80" spans="1:27" ht="15" customHeight="1" x14ac:dyDescent="0.45">
      <c r="A80" s="82"/>
      <c r="B80" t="s">
        <v>265</v>
      </c>
      <c r="C80"/>
      <c r="D80"/>
      <c r="F80">
        <f ca="1">F24+F32</f>
        <v>0</v>
      </c>
      <c r="G80">
        <f t="shared" ref="G80:K80" ca="1" si="200">G24+G32</f>
        <v>122052.7778263799</v>
      </c>
      <c r="H80">
        <f t="shared" ca="1" si="200"/>
        <v>122052.7778263799</v>
      </c>
      <c r="I80">
        <f t="shared" ca="1" si="200"/>
        <v>122052.7778263799</v>
      </c>
      <c r="J80">
        <f t="shared" ca="1" si="200"/>
        <v>114322.76856404252</v>
      </c>
      <c r="K80">
        <f t="shared" ca="1" si="200"/>
        <v>106592.75930170511</v>
      </c>
      <c r="L80">
        <f t="shared" ref="L80:AA80" ca="1" si="201">L24+L32</f>
        <v>98862.750039367718</v>
      </c>
      <c r="M80">
        <f t="shared" ca="1" si="201"/>
        <v>91132.740777030325</v>
      </c>
      <c r="N80">
        <f t="shared" ca="1" si="201"/>
        <v>83402.731514692918</v>
      </c>
      <c r="O80">
        <f t="shared" ca="1" si="201"/>
        <v>75672.722252355525</v>
      </c>
      <c r="P80">
        <f t="shared" ca="1" si="201"/>
        <v>67942.712990018132</v>
      </c>
      <c r="Q80">
        <f t="shared" ca="1" si="201"/>
        <v>60212.703727680739</v>
      </c>
      <c r="R80">
        <f t="shared" ca="1" si="201"/>
        <v>52482.694465343338</v>
      </c>
      <c r="S80">
        <f t="shared" ca="1" si="201"/>
        <v>44752.685203005938</v>
      </c>
      <c r="T80">
        <f t="shared" ca="1" si="201"/>
        <v>37022.675940668545</v>
      </c>
      <c r="U80">
        <f t="shared" ca="1" si="201"/>
        <v>29292.666678331148</v>
      </c>
      <c r="V80">
        <f t="shared" ca="1" si="201"/>
        <v>21562.657415993752</v>
      </c>
      <c r="W80">
        <f t="shared" ca="1" si="201"/>
        <v>13832.648153656359</v>
      </c>
      <c r="X80">
        <f t="shared" ca="1" si="201"/>
        <v>6102.6388913189894</v>
      </c>
      <c r="Y80">
        <f t="shared" ca="1" si="201"/>
        <v>4068.4259275459908</v>
      </c>
      <c r="Z80">
        <f t="shared" ca="1" si="201"/>
        <v>2034.2129637729922</v>
      </c>
      <c r="AA80">
        <f t="shared" ca="1" si="201"/>
        <v>0</v>
      </c>
    </row>
    <row r="81" spans="1:27" ht="15" customHeight="1" x14ac:dyDescent="0.45">
      <c r="A81" s="82"/>
      <c r="B81" t="s">
        <v>263</v>
      </c>
      <c r="C81"/>
      <c r="D81"/>
      <c r="F81" t="str">
        <f ca="1">IFERROR(F79/F80/F8,"na")</f>
        <v>na</v>
      </c>
      <c r="G81" t="str">
        <f t="shared" ref="G81:K81" ca="1" si="202">IFERROR(G79/G80/G8,"na")</f>
        <v>na</v>
      </c>
      <c r="H81">
        <f t="shared" ca="1" si="202"/>
        <v>2.8513054082586682</v>
      </c>
      <c r="I81">
        <f t="shared" ca="1" si="202"/>
        <v>2.8111453397711155</v>
      </c>
      <c r="J81">
        <f t="shared" ca="1" si="202"/>
        <v>2.9011047874187463</v>
      </c>
      <c r="K81">
        <f t="shared" ca="1" si="202"/>
        <v>3.001996086763989</v>
      </c>
      <c r="L81">
        <f t="shared" ref="L81:AA81" ca="1" si="203">IFERROR(L79/L80/L8,"na")</f>
        <v>3.1113219599816939</v>
      </c>
      <c r="M81">
        <f t="shared" ca="1" si="203"/>
        <v>3.2306211528126405</v>
      </c>
      <c r="N81">
        <f t="shared" ca="1" si="203"/>
        <v>3.3619614799008213</v>
      </c>
      <c r="O81">
        <f t="shared" ca="1" si="203"/>
        <v>3.5082074546600319</v>
      </c>
      <c r="P81">
        <f t="shared" ca="1" si="203"/>
        <v>3.6734704568030083</v>
      </c>
      <c r="Q81">
        <f t="shared" ca="1" si="203"/>
        <v>3.863905465591829</v>
      </c>
      <c r="R81">
        <f t="shared" ca="1" si="203"/>
        <v>4.0892116597042296</v>
      </c>
      <c r="S81">
        <f t="shared" ca="1" si="203"/>
        <v>4.36568790882336</v>
      </c>
      <c r="T81">
        <f t="shared" ca="1" si="203"/>
        <v>4.7231156737085307</v>
      </c>
      <c r="U81">
        <f t="shared" ca="1" si="203"/>
        <v>5.2225393657703343</v>
      </c>
      <c r="V81">
        <f t="shared" ca="1" si="203"/>
        <v>6.0122905883347899</v>
      </c>
      <c r="W81">
        <f t="shared" ca="1" si="203"/>
        <v>7.5718572724827817</v>
      </c>
      <c r="X81">
        <f t="shared" ca="1" si="203"/>
        <v>12.808583394758028</v>
      </c>
      <c r="Y81">
        <f t="shared" ca="1" si="203"/>
        <v>13.327852666113161</v>
      </c>
      <c r="Z81">
        <f t="shared" ca="1" si="203"/>
        <v>13.830788121950549</v>
      </c>
      <c r="AA81" t="str">
        <f t="shared" ca="1" si="203"/>
        <v>na</v>
      </c>
    </row>
    <row r="82" spans="1:27" ht="15" customHeight="1" x14ac:dyDescent="0.45">
      <c r="A82" s="82"/>
      <c r="B82" t="s">
        <v>266</v>
      </c>
      <c r="C82" t="s">
        <v>199</v>
      </c>
      <c r="D82">
        <f>'Assumptions and Outputs'!D84</f>
        <v>1.5</v>
      </c>
      <c r="F82">
        <f ca="1">IF($D$82&gt;F81,1,0)</f>
        <v>0</v>
      </c>
      <c r="G82">
        <f t="shared" ref="G82:K82" ca="1" si="204">IF($D$82&gt;G81,1,0)</f>
        <v>0</v>
      </c>
      <c r="H82">
        <f t="shared" ca="1" si="204"/>
        <v>0</v>
      </c>
      <c r="I82">
        <f t="shared" ca="1" si="204"/>
        <v>0</v>
      </c>
      <c r="J82">
        <f t="shared" ca="1" si="204"/>
        <v>0</v>
      </c>
      <c r="K82">
        <f t="shared" ca="1" si="204"/>
        <v>0</v>
      </c>
      <c r="L82">
        <f t="shared" ref="L82:AA82" ca="1" si="205">IF($D$82&gt;L81,1,0)</f>
        <v>0</v>
      </c>
      <c r="M82">
        <f t="shared" ca="1" si="205"/>
        <v>0</v>
      </c>
      <c r="N82">
        <f t="shared" ca="1" si="205"/>
        <v>0</v>
      </c>
      <c r="O82">
        <f t="shared" ca="1" si="205"/>
        <v>0</v>
      </c>
      <c r="P82">
        <f t="shared" ca="1" si="205"/>
        <v>0</v>
      </c>
      <c r="Q82">
        <f t="shared" ca="1" si="205"/>
        <v>0</v>
      </c>
      <c r="R82">
        <f t="shared" ca="1" si="205"/>
        <v>0</v>
      </c>
      <c r="S82">
        <f t="shared" ca="1" si="205"/>
        <v>0</v>
      </c>
      <c r="T82">
        <f t="shared" ca="1" si="205"/>
        <v>0</v>
      </c>
      <c r="U82">
        <f t="shared" ca="1" si="205"/>
        <v>0</v>
      </c>
      <c r="V82">
        <f t="shared" ca="1" si="205"/>
        <v>0</v>
      </c>
      <c r="W82">
        <f t="shared" ca="1" si="205"/>
        <v>0</v>
      </c>
      <c r="X82">
        <f t="shared" ca="1" si="205"/>
        <v>0</v>
      </c>
      <c r="Y82">
        <f t="shared" ca="1" si="205"/>
        <v>0</v>
      </c>
      <c r="Z82">
        <f t="shared" ca="1" si="205"/>
        <v>0</v>
      </c>
      <c r="AA82">
        <f t="shared" ca="1" si="205"/>
        <v>0</v>
      </c>
    </row>
    <row r="83" spans="1:27" ht="15" customHeight="1" x14ac:dyDescent="0.45">
      <c r="A83" s="82"/>
      <c r="B83"/>
      <c r="C83"/>
      <c r="D83"/>
    </row>
    <row r="84" spans="1:27" ht="15" customHeight="1" x14ac:dyDescent="0.45">
      <c r="A84" s="82" t="s">
        <v>267</v>
      </c>
      <c r="B84"/>
      <c r="C84"/>
      <c r="D84"/>
    </row>
    <row r="85" spans="1:27" ht="15" customHeight="1" x14ac:dyDescent="0.45">
      <c r="A85" s="82"/>
      <c r="B85" t="s">
        <v>267</v>
      </c>
      <c r="C85"/>
      <c r="D85"/>
      <c r="F85" t="str">
        <f ca="1">IFERROR(F61/F57/F8*-1,"na")</f>
        <v>na</v>
      </c>
      <c r="G85" t="str">
        <f t="shared" ref="G85:K85" ca="1" si="206">IFERROR(G61/G57/G8*-1,"na")</f>
        <v>na</v>
      </c>
      <c r="H85">
        <f t="shared" ca="1" si="206"/>
        <v>2.9974324979138749</v>
      </c>
      <c r="I85">
        <f t="shared" ca="1" si="206"/>
        <v>3.7057749505470339</v>
      </c>
      <c r="J85">
        <f t="shared" ca="1" si="206"/>
        <v>4.9597706350584811</v>
      </c>
      <c r="K85">
        <f t="shared" ca="1" si="206"/>
        <v>5.2378331347672322</v>
      </c>
      <c r="L85">
        <f t="shared" ref="L85:AA85" ca="1" si="207">IFERROR(L61/L57/L8*-1,"na")</f>
        <v>5.657577035992035</v>
      </c>
      <c r="M85">
        <f t="shared" ca="1" si="207"/>
        <v>6.1483079426566798</v>
      </c>
      <c r="N85">
        <f t="shared" ca="1" si="207"/>
        <v>6.7284801834880845</v>
      </c>
      <c r="O85">
        <f t="shared" ca="1" si="207"/>
        <v>7.4234754591301266</v>
      </c>
      <c r="P85">
        <f t="shared" ca="1" si="207"/>
        <v>8.2691852288071033</v>
      </c>
      <c r="Q85">
        <f t="shared" ca="1" si="207"/>
        <v>9.3180723536982129</v>
      </c>
      <c r="R85">
        <f t="shared" ca="1" si="207"/>
        <v>10.649974764414145</v>
      </c>
      <c r="S85">
        <f t="shared" ca="1" si="207"/>
        <v>12.392627995884245</v>
      </c>
      <c r="T85">
        <f t="shared" ca="1" si="207"/>
        <v>14.763905775022293</v>
      </c>
      <c r="U85">
        <f t="shared" ca="1" si="207"/>
        <v>18.168334407775927</v>
      </c>
      <c r="V85">
        <f t="shared" ca="1" si="207"/>
        <v>23.451408239839701</v>
      </c>
      <c r="W85">
        <f t="shared" ca="1" si="207"/>
        <v>32.725459524429347</v>
      </c>
      <c r="X85">
        <f t="shared" ca="1" si="207"/>
        <v>53.16911007175225</v>
      </c>
      <c r="Y85">
        <f t="shared" ca="1" si="207"/>
        <v>79.859147710050905</v>
      </c>
      <c r="Z85">
        <f t="shared" ca="1" si="207"/>
        <v>138.01701334206314</v>
      </c>
      <c r="AA85">
        <f t="shared" ca="1" si="207"/>
        <v>425.90691657888897</v>
      </c>
    </row>
    <row r="86" spans="1:27" ht="15" customHeight="1" x14ac:dyDescent="0.45">
      <c r="A86" s="82"/>
      <c r="B86" t="s">
        <v>268</v>
      </c>
      <c r="C86" t="s">
        <v>199</v>
      </c>
      <c r="D86">
        <f>'Assumptions and Outputs'!D85</f>
        <v>1.5</v>
      </c>
      <c r="F86">
        <f ca="1">IF($D$86&gt;F85,1,0)</f>
        <v>0</v>
      </c>
      <c r="G86">
        <f t="shared" ref="G86:K86" ca="1" si="208">IF($D$86&gt;G85,1,0)</f>
        <v>0</v>
      </c>
      <c r="H86">
        <f t="shared" ca="1" si="208"/>
        <v>0</v>
      </c>
      <c r="I86">
        <f t="shared" ca="1" si="208"/>
        <v>0</v>
      </c>
      <c r="J86">
        <f t="shared" ca="1" si="208"/>
        <v>0</v>
      </c>
      <c r="K86">
        <f t="shared" ca="1" si="208"/>
        <v>0</v>
      </c>
      <c r="L86">
        <f t="shared" ref="L86:AA86" ca="1" si="209">IF($D$86&gt;L85,1,0)</f>
        <v>0</v>
      </c>
      <c r="M86">
        <f t="shared" ca="1" si="209"/>
        <v>0</v>
      </c>
      <c r="N86">
        <f t="shared" ca="1" si="209"/>
        <v>0</v>
      </c>
      <c r="O86">
        <f t="shared" ca="1" si="209"/>
        <v>0</v>
      </c>
      <c r="P86">
        <f t="shared" ca="1" si="209"/>
        <v>0</v>
      </c>
      <c r="Q86">
        <f t="shared" ca="1" si="209"/>
        <v>0</v>
      </c>
      <c r="R86">
        <f t="shared" ca="1" si="209"/>
        <v>0</v>
      </c>
      <c r="S86">
        <f t="shared" ca="1" si="209"/>
        <v>0</v>
      </c>
      <c r="T86">
        <f t="shared" ca="1" si="209"/>
        <v>0</v>
      </c>
      <c r="U86">
        <f t="shared" ca="1" si="209"/>
        <v>0</v>
      </c>
      <c r="V86">
        <f t="shared" ca="1" si="209"/>
        <v>0</v>
      </c>
      <c r="W86">
        <f t="shared" ca="1" si="209"/>
        <v>0</v>
      </c>
      <c r="X86">
        <f t="shared" ca="1" si="209"/>
        <v>0</v>
      </c>
      <c r="Y86">
        <f t="shared" ca="1" si="209"/>
        <v>0</v>
      </c>
      <c r="Z86">
        <f t="shared" ca="1" si="209"/>
        <v>0</v>
      </c>
      <c r="AA86">
        <f t="shared" ca="1" si="209"/>
        <v>0</v>
      </c>
    </row>
    <row r="87" spans="1:27" ht="15" customHeight="1" x14ac:dyDescent="0.45">
      <c r="A87" s="82"/>
      <c r="B87"/>
      <c r="C87"/>
      <c r="D87"/>
    </row>
    <row r="88" spans="1:27" ht="15" customHeight="1" x14ac:dyDescent="0.45">
      <c r="A88" s="82" t="s">
        <v>269</v>
      </c>
      <c r="B88"/>
      <c r="C88"/>
      <c r="D88"/>
    </row>
    <row r="89" spans="1:27" ht="15" customHeight="1" x14ac:dyDescent="0.45">
      <c r="A89" s="82"/>
      <c r="B89" t="s">
        <v>270</v>
      </c>
      <c r="C89" t="s">
        <v>271</v>
      </c>
      <c r="D89">
        <f ca="1">SUM(F89:AA89)</f>
        <v>0</v>
      </c>
      <c r="F89">
        <f ca="1">F86+F82+F76+F72+F64</f>
        <v>0</v>
      </c>
      <c r="G89">
        <f t="shared" ref="G89:K89" ca="1" si="210">G86+G82+G76+G72+G64</f>
        <v>0</v>
      </c>
      <c r="H89">
        <f t="shared" ca="1" si="210"/>
        <v>0</v>
      </c>
      <c r="I89">
        <f t="shared" ca="1" si="210"/>
        <v>0</v>
      </c>
      <c r="J89">
        <f t="shared" ca="1" si="210"/>
        <v>0</v>
      </c>
      <c r="K89">
        <f t="shared" ca="1" si="210"/>
        <v>0</v>
      </c>
      <c r="L89">
        <f t="shared" ref="L89:AA89" ca="1" si="211">L86+L82+L76+L72+L64</f>
        <v>0</v>
      </c>
      <c r="M89">
        <f t="shared" ca="1" si="211"/>
        <v>0</v>
      </c>
      <c r="N89">
        <f t="shared" ca="1" si="211"/>
        <v>0</v>
      </c>
      <c r="O89">
        <f t="shared" ca="1" si="211"/>
        <v>0</v>
      </c>
      <c r="P89">
        <f t="shared" ca="1" si="211"/>
        <v>0</v>
      </c>
      <c r="Q89">
        <f t="shared" ca="1" si="211"/>
        <v>0</v>
      </c>
      <c r="R89">
        <f t="shared" ca="1" si="211"/>
        <v>0</v>
      </c>
      <c r="S89">
        <f t="shared" ca="1" si="211"/>
        <v>0</v>
      </c>
      <c r="T89">
        <f t="shared" ca="1" si="211"/>
        <v>0</v>
      </c>
      <c r="U89">
        <f t="shared" ca="1" si="211"/>
        <v>0</v>
      </c>
      <c r="V89">
        <f t="shared" ca="1" si="211"/>
        <v>0</v>
      </c>
      <c r="W89">
        <f t="shared" ca="1" si="211"/>
        <v>0</v>
      </c>
      <c r="X89">
        <f t="shared" ca="1" si="211"/>
        <v>0</v>
      </c>
      <c r="Y89">
        <f t="shared" ca="1" si="211"/>
        <v>0</v>
      </c>
      <c r="Z89">
        <f t="shared" ca="1" si="211"/>
        <v>0</v>
      </c>
      <c r="AA89">
        <f t="shared" ca="1" si="211"/>
        <v>0</v>
      </c>
    </row>
    <row r="90" spans="1:27" ht="15" customHeight="1" x14ac:dyDescent="0.45">
      <c r="A90" s="82"/>
      <c r="B90"/>
      <c r="C90"/>
      <c r="D90"/>
    </row>
    <row r="91" spans="1:27" ht="15" customHeight="1" x14ac:dyDescent="0.45">
      <c r="A91" s="59" t="s">
        <v>43</v>
      </c>
      <c r="B91"/>
      <c r="C91"/>
      <c r="D91"/>
    </row>
    <row r="92" spans="1:27" ht="15" customHeight="1" x14ac:dyDescent="0.45">
      <c r="A92" s="82"/>
      <c r="B92"/>
      <c r="C92" s="77"/>
      <c r="D92" s="77"/>
    </row>
    <row r="93" spans="1:27" ht="15" customHeight="1" x14ac:dyDescent="0.45">
      <c r="A93" s="82"/>
      <c r="B93"/>
      <c r="C93" s="77"/>
      <c r="D93"/>
    </row>
    <row r="94" spans="1:27" ht="15" customHeight="1" x14ac:dyDescent="0.45">
      <c r="A94" s="82"/>
      <c r="B94"/>
      <c r="C94" s="77"/>
      <c r="D94"/>
    </row>
    <row r="95" spans="1:27" ht="15" customHeight="1" x14ac:dyDescent="0.45">
      <c r="A95" s="82"/>
      <c r="B95"/>
      <c r="C95" s="77"/>
      <c r="D95"/>
    </row>
    <row r="96" spans="1:27" ht="15" customHeight="1" x14ac:dyDescent="0.45">
      <c r="A96" s="82"/>
      <c r="B96"/>
      <c r="C96" s="77"/>
      <c r="D96"/>
    </row>
    <row r="97" spans="1:4" ht="15" customHeight="1" x14ac:dyDescent="0.45">
      <c r="A97" s="82"/>
      <c r="B97"/>
      <c r="C97" s="77"/>
      <c r="D97"/>
    </row>
    <row r="98" spans="1:4" ht="15" customHeight="1" x14ac:dyDescent="0.45">
      <c r="A98" s="82"/>
      <c r="B98"/>
      <c r="C98" s="77"/>
      <c r="D98"/>
    </row>
    <row r="99" spans="1:4" ht="15" customHeight="1" x14ac:dyDescent="0.45">
      <c r="A99" s="82"/>
      <c r="B99"/>
      <c r="C99" s="77"/>
      <c r="D99"/>
    </row>
    <row r="100" spans="1:4" ht="15" customHeight="1" x14ac:dyDescent="0.45">
      <c r="A100" s="82"/>
      <c r="B100"/>
      <c r="C100" s="77"/>
      <c r="D100"/>
    </row>
    <row r="101" spans="1:4" ht="15" customHeight="1" x14ac:dyDescent="0.45">
      <c r="A101" s="82"/>
      <c r="B101"/>
      <c r="C101" s="77"/>
      <c r="D101"/>
    </row>
    <row r="102" spans="1:4" ht="15" customHeight="1" x14ac:dyDescent="0.45">
      <c r="A102" s="82"/>
      <c r="B102"/>
      <c r="C102" s="77"/>
      <c r="D102"/>
    </row>
    <row r="103" spans="1:4" ht="15" customHeight="1" x14ac:dyDescent="0.45">
      <c r="A103" s="82"/>
      <c r="B103"/>
      <c r="C103" s="77"/>
      <c r="D103"/>
    </row>
    <row r="104" spans="1:4" ht="15" customHeight="1" x14ac:dyDescent="0.45">
      <c r="A104" s="82"/>
      <c r="B104"/>
      <c r="C104" s="77"/>
      <c r="D104"/>
    </row>
    <row r="105" spans="1:4" ht="15" customHeight="1" x14ac:dyDescent="0.45">
      <c r="A105" s="82"/>
      <c r="B105"/>
      <c r="C105" s="77"/>
      <c r="D105"/>
    </row>
    <row r="106" spans="1:4" ht="15" customHeight="1" x14ac:dyDescent="0.45">
      <c r="A106" s="82"/>
      <c r="B106"/>
      <c r="C106" s="77"/>
      <c r="D106"/>
    </row>
    <row r="107" spans="1:4" ht="15" customHeight="1" x14ac:dyDescent="0.45">
      <c r="A107" s="82"/>
      <c r="B107"/>
      <c r="C107" s="77"/>
      <c r="D107"/>
    </row>
    <row r="108" spans="1:4" ht="15" customHeight="1" x14ac:dyDescent="0.45">
      <c r="A108" s="82"/>
      <c r="B108"/>
      <c r="C108" s="77"/>
      <c r="D108"/>
    </row>
    <row r="109" spans="1:4" ht="15" customHeight="1" x14ac:dyDescent="0.45">
      <c r="A109" s="82"/>
      <c r="B109"/>
      <c r="C109" s="77"/>
      <c r="D109"/>
    </row>
    <row r="110" spans="1:4" ht="15" customHeight="1" x14ac:dyDescent="0.45">
      <c r="A110" s="82"/>
      <c r="B110"/>
      <c r="C110" s="77"/>
      <c r="D110"/>
    </row>
    <row r="111" spans="1:4" ht="15" customHeight="1" x14ac:dyDescent="0.45">
      <c r="A111" s="82"/>
      <c r="B111"/>
      <c r="C111" s="77"/>
      <c r="D111"/>
    </row>
    <row r="112" spans="1:4" ht="15" customHeight="1" x14ac:dyDescent="0.45">
      <c r="A112" s="82"/>
      <c r="B112"/>
      <c r="C112" s="77"/>
      <c r="D112"/>
    </row>
    <row r="113" spans="1:4" ht="15" customHeight="1" x14ac:dyDescent="0.45">
      <c r="A113" s="82"/>
      <c r="B113"/>
      <c r="C113" s="77"/>
      <c r="D113"/>
    </row>
    <row r="114" spans="1:4" ht="15" customHeight="1" x14ac:dyDescent="0.45">
      <c r="A114" s="82"/>
      <c r="B114"/>
      <c r="C114" s="77"/>
      <c r="D114"/>
    </row>
    <row r="115" spans="1:4" ht="15" customHeight="1" x14ac:dyDescent="0.45">
      <c r="A115" s="82"/>
      <c r="B115"/>
      <c r="C115" s="77"/>
      <c r="D115"/>
    </row>
    <row r="116" spans="1:4" ht="15" customHeight="1" x14ac:dyDescent="0.45">
      <c r="A116" s="82"/>
      <c r="B116"/>
      <c r="C116" s="77"/>
      <c r="D116"/>
    </row>
    <row r="117" spans="1:4" ht="15" customHeight="1" x14ac:dyDescent="0.45">
      <c r="A117" s="82"/>
      <c r="B117"/>
      <c r="C117" s="77"/>
      <c r="D117"/>
    </row>
    <row r="118" spans="1:4" ht="15" customHeight="1" x14ac:dyDescent="0.45">
      <c r="A118" s="82"/>
      <c r="B118"/>
      <c r="C118" s="77"/>
      <c r="D118"/>
    </row>
    <row r="119" spans="1:4" ht="15" customHeight="1" x14ac:dyDescent="0.45">
      <c r="A119" s="82"/>
      <c r="B119"/>
      <c r="C119" s="77"/>
      <c r="D119"/>
    </row>
    <row r="120" spans="1:4" ht="15" customHeight="1" x14ac:dyDescent="0.45">
      <c r="A120" s="82"/>
      <c r="B120"/>
      <c r="C120" s="77"/>
      <c r="D120"/>
    </row>
    <row r="121" spans="1:4" ht="15" customHeight="1" x14ac:dyDescent="0.45">
      <c r="A121" s="82"/>
      <c r="B121"/>
      <c r="C121" s="77"/>
      <c r="D121"/>
    </row>
    <row r="122" spans="1:4" ht="15" customHeight="1" x14ac:dyDescent="0.45">
      <c r="A122" s="82"/>
      <c r="B122"/>
      <c r="C122" s="77"/>
      <c r="D122"/>
    </row>
    <row r="123" spans="1:4" ht="15" customHeight="1" x14ac:dyDescent="0.45">
      <c r="A123" s="82"/>
      <c r="B123"/>
      <c r="C123" s="77"/>
      <c r="D123"/>
    </row>
    <row r="124" spans="1:4" ht="15" customHeight="1" x14ac:dyDescent="0.45">
      <c r="A124" s="82"/>
      <c r="B124"/>
      <c r="C124" s="77"/>
      <c r="D124"/>
    </row>
    <row r="125" spans="1:4" ht="15" customHeight="1" x14ac:dyDescent="0.45">
      <c r="A125" s="82"/>
      <c r="B125"/>
      <c r="C125" s="77"/>
      <c r="D125"/>
    </row>
    <row r="126" spans="1:4" ht="15" customHeight="1" x14ac:dyDescent="0.45">
      <c r="A126" s="82"/>
      <c r="B126"/>
      <c r="C126" s="77"/>
      <c r="D126"/>
    </row>
    <row r="127" spans="1:4" ht="15" customHeight="1" x14ac:dyDescent="0.45">
      <c r="A127" s="82"/>
      <c r="B127"/>
      <c r="C127" s="77"/>
      <c r="D127"/>
    </row>
    <row r="128" spans="1:4" ht="15" customHeight="1" x14ac:dyDescent="0.45">
      <c r="A128" s="82"/>
      <c r="B128"/>
      <c r="C128" s="77"/>
      <c r="D128"/>
    </row>
    <row r="129" spans="1:4" ht="15" customHeight="1" x14ac:dyDescent="0.45">
      <c r="A129" s="82"/>
      <c r="B129"/>
      <c r="C129" s="77"/>
      <c r="D129"/>
    </row>
    <row r="130" spans="1:4" ht="15" customHeight="1" x14ac:dyDescent="0.45">
      <c r="A130" s="82"/>
      <c r="B130"/>
      <c r="C130" s="77"/>
      <c r="D130"/>
    </row>
    <row r="131" spans="1:4" ht="15" customHeight="1" x14ac:dyDescent="0.45">
      <c r="A131" s="82"/>
      <c r="B131"/>
      <c r="C131" s="77"/>
      <c r="D131"/>
    </row>
    <row r="132" spans="1:4" ht="15" customHeight="1" x14ac:dyDescent="0.45">
      <c r="A132" s="82"/>
      <c r="B132"/>
      <c r="C132" s="77"/>
      <c r="D132"/>
    </row>
    <row r="133" spans="1:4" ht="15" customHeight="1" x14ac:dyDescent="0.45">
      <c r="A133" s="82"/>
      <c r="B133"/>
      <c r="C133" s="77"/>
      <c r="D133"/>
    </row>
    <row r="134" spans="1:4" ht="15" customHeight="1" x14ac:dyDescent="0.45">
      <c r="A134" s="82"/>
      <c r="B134"/>
      <c r="C134" s="77"/>
      <c r="D134"/>
    </row>
    <row r="135" spans="1:4" ht="15" customHeight="1" x14ac:dyDescent="0.45">
      <c r="A135" s="82"/>
      <c r="B135"/>
      <c r="C135" s="77"/>
      <c r="D135"/>
    </row>
    <row r="136" spans="1:4" ht="15" customHeight="1" x14ac:dyDescent="0.45">
      <c r="A136" s="82"/>
      <c r="B136"/>
      <c r="C136" s="77"/>
      <c r="D136"/>
    </row>
    <row r="137" spans="1:4" ht="15" customHeight="1" x14ac:dyDescent="0.45">
      <c r="A137" s="82"/>
      <c r="B137"/>
      <c r="C137" s="77"/>
      <c r="D137"/>
    </row>
    <row r="138" spans="1:4" ht="15" customHeight="1" x14ac:dyDescent="0.45">
      <c r="A138" s="82"/>
      <c r="B138"/>
      <c r="C138" s="77"/>
      <c r="D138"/>
    </row>
    <row r="139" spans="1:4" ht="15" customHeight="1" x14ac:dyDescent="0.45">
      <c r="A139" s="82"/>
      <c r="B139"/>
      <c r="C139" s="77"/>
      <c r="D139"/>
    </row>
    <row r="140" spans="1:4" ht="15" customHeight="1" x14ac:dyDescent="0.45">
      <c r="A140" s="82"/>
      <c r="B140"/>
      <c r="C140" s="77"/>
      <c r="D140"/>
    </row>
    <row r="141" spans="1:4" ht="15" customHeight="1" x14ac:dyDescent="0.45">
      <c r="A141" s="82"/>
      <c r="B141"/>
      <c r="C141" s="77"/>
      <c r="D141"/>
    </row>
    <row r="142" spans="1:4" ht="15" customHeight="1" x14ac:dyDescent="0.45">
      <c r="A142" s="82"/>
      <c r="B142"/>
      <c r="C142" s="77"/>
      <c r="D142"/>
    </row>
    <row r="143" spans="1:4" ht="15" customHeight="1" x14ac:dyDescent="0.45">
      <c r="A143" s="82"/>
      <c r="B143"/>
      <c r="C143" s="77"/>
      <c r="D143"/>
    </row>
    <row r="144" spans="1:4" ht="15" customHeight="1" x14ac:dyDescent="0.45">
      <c r="A144" s="82"/>
      <c r="B144"/>
      <c r="C144" s="77"/>
      <c r="D144"/>
    </row>
    <row r="145" spans="1:4" ht="15" customHeight="1" x14ac:dyDescent="0.45">
      <c r="A145" s="82"/>
      <c r="B145"/>
      <c r="C145" s="77"/>
      <c r="D145"/>
    </row>
    <row r="146" spans="1:4" ht="15" customHeight="1" x14ac:dyDescent="0.45">
      <c r="A146" s="82"/>
      <c r="B146"/>
      <c r="C146" s="77"/>
      <c r="D146"/>
    </row>
    <row r="147" spans="1:4" ht="15" customHeight="1" x14ac:dyDescent="0.45">
      <c r="A147" s="82"/>
      <c r="B147"/>
      <c r="C147" s="77"/>
      <c r="D147"/>
    </row>
    <row r="148" spans="1:4" ht="15" customHeight="1" x14ac:dyDescent="0.45">
      <c r="A148" s="82"/>
      <c r="B148"/>
      <c r="C148" s="77"/>
      <c r="D148"/>
    </row>
    <row r="149" spans="1:4" ht="15" customHeight="1" x14ac:dyDescent="0.45">
      <c r="A149" s="82"/>
      <c r="B149"/>
      <c r="C149" s="77"/>
      <c r="D149"/>
    </row>
    <row r="150" spans="1:4" ht="15" customHeight="1" x14ac:dyDescent="0.45">
      <c r="A150" s="82"/>
      <c r="B150"/>
      <c r="C150" s="77"/>
      <c r="D150"/>
    </row>
    <row r="151" spans="1:4" ht="15" customHeight="1" x14ac:dyDescent="0.45">
      <c r="A151" s="82"/>
      <c r="B151"/>
      <c r="C151" s="77"/>
      <c r="D151"/>
    </row>
    <row r="152" spans="1:4" ht="15" customHeight="1" x14ac:dyDescent="0.45">
      <c r="A152" s="82"/>
      <c r="B152"/>
      <c r="C152" s="77"/>
      <c r="D152"/>
    </row>
    <row r="153" spans="1:4" ht="15" customHeight="1" x14ac:dyDescent="0.45">
      <c r="A153" s="82"/>
      <c r="B153"/>
      <c r="C153" s="77"/>
      <c r="D153"/>
    </row>
    <row r="154" spans="1:4" ht="15" customHeight="1" x14ac:dyDescent="0.45">
      <c r="A154" s="82"/>
      <c r="B154"/>
      <c r="C154" s="77"/>
      <c r="D154"/>
    </row>
    <row r="155" spans="1:4" ht="15" customHeight="1" x14ac:dyDescent="0.45">
      <c r="A155" s="82"/>
      <c r="B155"/>
      <c r="C155" s="77"/>
      <c r="D155"/>
    </row>
    <row r="156" spans="1:4" ht="15" customHeight="1" x14ac:dyDescent="0.45">
      <c r="A156" s="82"/>
      <c r="B156"/>
      <c r="C156" s="77"/>
      <c r="D156"/>
    </row>
    <row r="157" spans="1:4" ht="15" customHeight="1" x14ac:dyDescent="0.45">
      <c r="A157" s="82"/>
      <c r="B157"/>
      <c r="C157" s="77"/>
      <c r="D157"/>
    </row>
    <row r="158" spans="1:4" ht="15" customHeight="1" x14ac:dyDescent="0.45">
      <c r="A158" s="82"/>
      <c r="B158"/>
      <c r="C158" s="77"/>
      <c r="D158"/>
    </row>
    <row r="159" spans="1:4" ht="15" customHeight="1" x14ac:dyDescent="0.45">
      <c r="A159" s="82"/>
      <c r="B159"/>
      <c r="C159" s="77"/>
      <c r="D159"/>
    </row>
    <row r="160" spans="1:4" ht="15" customHeight="1" x14ac:dyDescent="0.45">
      <c r="A160" s="82"/>
      <c r="B160"/>
      <c r="C160" s="77"/>
      <c r="D160"/>
    </row>
    <row r="161" spans="1:4" ht="15" customHeight="1" x14ac:dyDescent="0.45">
      <c r="A161" s="82"/>
      <c r="B161"/>
      <c r="C161" s="77"/>
      <c r="D161"/>
    </row>
    <row r="162" spans="1:4" ht="15" customHeight="1" x14ac:dyDescent="0.45">
      <c r="A162" s="82"/>
      <c r="B162"/>
      <c r="C162" s="77"/>
      <c r="D162"/>
    </row>
    <row r="163" spans="1:4" ht="15" customHeight="1" x14ac:dyDescent="0.45">
      <c r="A163" s="82"/>
      <c r="B163"/>
      <c r="C163" s="77"/>
      <c r="D163"/>
    </row>
    <row r="164" spans="1:4" ht="15" customHeight="1" x14ac:dyDescent="0.45">
      <c r="A164" s="82"/>
      <c r="B164"/>
      <c r="C164" s="77"/>
      <c r="D164"/>
    </row>
    <row r="165" spans="1:4" ht="15" customHeight="1" x14ac:dyDescent="0.45">
      <c r="A165" s="82"/>
      <c r="B165"/>
      <c r="C165" s="77"/>
      <c r="D165"/>
    </row>
    <row r="166" spans="1:4" ht="15" customHeight="1" x14ac:dyDescent="0.45">
      <c r="A166" s="82"/>
      <c r="B166"/>
      <c r="C166" s="77"/>
      <c r="D166"/>
    </row>
    <row r="167" spans="1:4" ht="15" customHeight="1" x14ac:dyDescent="0.45">
      <c r="A167" s="82"/>
      <c r="B167"/>
      <c r="C167" s="77"/>
      <c r="D167"/>
    </row>
    <row r="168" spans="1:4" ht="15" customHeight="1" x14ac:dyDescent="0.45">
      <c r="A168" s="82"/>
      <c r="B168"/>
      <c r="C168" s="77"/>
      <c r="D168"/>
    </row>
    <row r="169" spans="1:4" ht="15" customHeight="1" x14ac:dyDescent="0.45">
      <c r="A169" s="82"/>
      <c r="B169"/>
      <c r="C169" s="77"/>
      <c r="D169"/>
    </row>
    <row r="170" spans="1:4" ht="15" customHeight="1" x14ac:dyDescent="0.45">
      <c r="A170" s="82"/>
      <c r="B170"/>
      <c r="C170" s="77"/>
      <c r="D170"/>
    </row>
    <row r="171" spans="1:4" ht="15" customHeight="1" x14ac:dyDescent="0.45">
      <c r="A171" s="82"/>
      <c r="B171"/>
      <c r="C171" s="77"/>
      <c r="D171"/>
    </row>
    <row r="172" spans="1:4" ht="15" customHeight="1" x14ac:dyDescent="0.45">
      <c r="A172" s="82"/>
      <c r="B172"/>
      <c r="C172" s="77"/>
      <c r="D172"/>
    </row>
    <row r="173" spans="1:4" ht="15" customHeight="1" x14ac:dyDescent="0.45">
      <c r="A173" s="82"/>
      <c r="B173"/>
      <c r="C173" s="77"/>
      <c r="D173"/>
    </row>
    <row r="174" spans="1:4" ht="15" customHeight="1" x14ac:dyDescent="0.45">
      <c r="A174" s="82"/>
      <c r="B174"/>
      <c r="C174" s="77"/>
      <c r="D174"/>
    </row>
    <row r="175" spans="1:4" ht="15" customHeight="1" x14ac:dyDescent="0.45">
      <c r="A175" s="82"/>
      <c r="B175"/>
      <c r="C175" s="77"/>
      <c r="D175"/>
    </row>
    <row r="176" spans="1:4" ht="15" customHeight="1" x14ac:dyDescent="0.45">
      <c r="A176" s="82"/>
      <c r="B176"/>
      <c r="C176" s="77"/>
      <c r="D176"/>
    </row>
    <row r="177" spans="1:4" ht="15" customHeight="1" x14ac:dyDescent="0.45">
      <c r="A177" s="82"/>
      <c r="B177"/>
      <c r="C177" s="77"/>
      <c r="D177"/>
    </row>
    <row r="178" spans="1:4" ht="15" customHeight="1" x14ac:dyDescent="0.45">
      <c r="A178" s="82"/>
      <c r="B178"/>
      <c r="C178" s="77"/>
      <c r="D178"/>
    </row>
    <row r="179" spans="1:4" ht="15" customHeight="1" x14ac:dyDescent="0.45">
      <c r="A179" s="82"/>
      <c r="B179"/>
      <c r="C179" s="77"/>
      <c r="D179"/>
    </row>
    <row r="180" spans="1:4" ht="15" customHeight="1" x14ac:dyDescent="0.45">
      <c r="A180" s="82"/>
      <c r="B180"/>
      <c r="C180" s="77"/>
      <c r="D180"/>
    </row>
    <row r="181" spans="1:4" ht="15" customHeight="1" x14ac:dyDescent="0.45">
      <c r="A181" s="82"/>
      <c r="B181"/>
      <c r="C181" s="77"/>
      <c r="D181"/>
    </row>
    <row r="182" spans="1:4" ht="15" customHeight="1" x14ac:dyDescent="0.45">
      <c r="A182" s="82"/>
      <c r="B182"/>
      <c r="C182" s="77"/>
      <c r="D182"/>
    </row>
    <row r="183" spans="1:4" ht="15" customHeight="1" x14ac:dyDescent="0.45">
      <c r="A183" s="82"/>
      <c r="B183"/>
      <c r="C183" s="77"/>
      <c r="D183"/>
    </row>
    <row r="184" spans="1:4" ht="15" customHeight="1" x14ac:dyDescent="0.45">
      <c r="A184" s="82"/>
      <c r="B184"/>
      <c r="C184" s="77"/>
      <c r="D184"/>
    </row>
    <row r="185" spans="1:4" ht="15" customHeight="1" x14ac:dyDescent="0.45">
      <c r="A185" s="82"/>
      <c r="B185"/>
      <c r="C185" s="77"/>
      <c r="D185"/>
    </row>
    <row r="186" spans="1:4" ht="15" customHeight="1" x14ac:dyDescent="0.45">
      <c r="A186" s="82"/>
      <c r="B186"/>
      <c r="C186" s="77"/>
      <c r="D186"/>
    </row>
    <row r="187" spans="1:4" ht="15" customHeight="1" x14ac:dyDescent="0.45">
      <c r="A187" s="82"/>
      <c r="B187"/>
      <c r="C187" s="77"/>
      <c r="D187"/>
    </row>
    <row r="188" spans="1:4" ht="15" customHeight="1" x14ac:dyDescent="0.45">
      <c r="A188" s="82"/>
      <c r="B188"/>
      <c r="C188" s="77"/>
      <c r="D188"/>
    </row>
    <row r="189" spans="1:4" ht="15" customHeight="1" x14ac:dyDescent="0.45">
      <c r="A189" s="82"/>
      <c r="B189"/>
      <c r="C189" s="77"/>
      <c r="D189"/>
    </row>
    <row r="190" spans="1:4" ht="15" customHeight="1" x14ac:dyDescent="0.45">
      <c r="A190" s="82"/>
      <c r="B190"/>
      <c r="C190" s="77"/>
      <c r="D190"/>
    </row>
    <row r="191" spans="1:4" ht="15" customHeight="1" x14ac:dyDescent="0.45">
      <c r="A191" s="82"/>
      <c r="B191"/>
      <c r="C191" s="77"/>
      <c r="D191"/>
    </row>
    <row r="192" spans="1:4" ht="15" customHeight="1" x14ac:dyDescent="0.45">
      <c r="A192" s="82"/>
      <c r="B192"/>
      <c r="C192" s="77"/>
      <c r="D192"/>
    </row>
    <row r="193" spans="1:4" ht="15" customHeight="1" x14ac:dyDescent="0.45">
      <c r="A193" s="82"/>
      <c r="B193"/>
      <c r="C193" s="77"/>
      <c r="D193"/>
    </row>
    <row r="194" spans="1:4" ht="15" customHeight="1" x14ac:dyDescent="0.45">
      <c r="A194" s="82"/>
      <c r="B194"/>
      <c r="C194" s="77"/>
      <c r="D194"/>
    </row>
    <row r="195" spans="1:4" ht="15" customHeight="1" x14ac:dyDescent="0.45">
      <c r="A195" s="82"/>
      <c r="B195"/>
      <c r="C195" s="77"/>
      <c r="D195"/>
    </row>
    <row r="196" spans="1:4" ht="15" customHeight="1" x14ac:dyDescent="0.45">
      <c r="A196" s="82"/>
      <c r="B196"/>
      <c r="C196" s="77"/>
      <c r="D196"/>
    </row>
    <row r="197" spans="1:4" ht="15" customHeight="1" x14ac:dyDescent="0.45">
      <c r="A197" s="82"/>
      <c r="B197"/>
      <c r="C197" s="77"/>
      <c r="D197"/>
    </row>
    <row r="198" spans="1:4" ht="15" customHeight="1" x14ac:dyDescent="0.45">
      <c r="A198" s="82"/>
      <c r="B198"/>
      <c r="C198" s="77"/>
      <c r="D198"/>
    </row>
    <row r="199" spans="1:4" ht="15" customHeight="1" x14ac:dyDescent="0.45">
      <c r="A199" s="82"/>
      <c r="B199"/>
      <c r="C199" s="77"/>
      <c r="D199"/>
    </row>
    <row r="200" spans="1:4" ht="15" customHeight="1" x14ac:dyDescent="0.45">
      <c r="A200" s="82"/>
      <c r="B200"/>
      <c r="C200" s="77"/>
      <c r="D200"/>
    </row>
    <row r="201" spans="1:4" ht="15" customHeight="1" x14ac:dyDescent="0.45">
      <c r="A201" s="82"/>
      <c r="B201"/>
      <c r="C201"/>
      <c r="D201"/>
    </row>
    <row r="202" spans="1:4" ht="15" customHeight="1" x14ac:dyDescent="0.45">
      <c r="A202" s="82"/>
      <c r="B202"/>
      <c r="C202"/>
      <c r="D202"/>
    </row>
    <row r="203" spans="1:4" ht="15" customHeight="1" x14ac:dyDescent="0.45">
      <c r="A203" s="82"/>
      <c r="B203"/>
      <c r="C203"/>
      <c r="D203"/>
    </row>
    <row r="204" spans="1:4" ht="15" customHeight="1" x14ac:dyDescent="0.45">
      <c r="A204" s="82"/>
      <c r="B204"/>
      <c r="C204"/>
      <c r="D204"/>
    </row>
    <row r="205" spans="1:4" ht="15" customHeight="1" x14ac:dyDescent="0.45">
      <c r="A205" s="82"/>
      <c r="B205"/>
      <c r="C205"/>
      <c r="D205"/>
    </row>
    <row r="206" spans="1:4" ht="15" customHeight="1" x14ac:dyDescent="0.45">
      <c r="A206" s="82"/>
      <c r="B206"/>
      <c r="C206"/>
      <c r="D206"/>
    </row>
    <row r="207" spans="1:4" ht="15" customHeight="1" x14ac:dyDescent="0.45">
      <c r="A207" s="82"/>
      <c r="B207"/>
      <c r="C207"/>
      <c r="D207"/>
    </row>
    <row r="208" spans="1:4" ht="15" customHeight="1" x14ac:dyDescent="0.45">
      <c r="A208" s="82"/>
      <c r="B208"/>
      <c r="C208"/>
      <c r="D208"/>
    </row>
    <row r="209" spans="1:4" ht="15" customHeight="1" x14ac:dyDescent="0.45">
      <c r="A209" s="82"/>
      <c r="B209"/>
      <c r="C209"/>
      <c r="D209"/>
    </row>
    <row r="210" spans="1:4" ht="15" customHeight="1" x14ac:dyDescent="0.45">
      <c r="A210" s="82"/>
      <c r="B210"/>
      <c r="C210"/>
      <c r="D210"/>
    </row>
    <row r="211" spans="1:4" ht="15" customHeight="1" x14ac:dyDescent="0.45">
      <c r="A211" s="82"/>
      <c r="B211"/>
      <c r="C211"/>
      <c r="D211"/>
    </row>
    <row r="212" spans="1:4" ht="15" customHeight="1" x14ac:dyDescent="0.45">
      <c r="A212" s="82"/>
      <c r="B212"/>
      <c r="C212"/>
      <c r="D212"/>
    </row>
    <row r="213" spans="1:4" ht="15" customHeight="1" x14ac:dyDescent="0.45">
      <c r="A213" s="82"/>
      <c r="B213"/>
      <c r="C213"/>
      <c r="D213"/>
    </row>
    <row r="214" spans="1:4" ht="15" customHeight="1" x14ac:dyDescent="0.45">
      <c r="A214" s="82"/>
      <c r="B214"/>
      <c r="C214"/>
      <c r="D214"/>
    </row>
    <row r="215" spans="1:4" ht="15" customHeight="1" x14ac:dyDescent="0.45">
      <c r="A215" s="82"/>
      <c r="B215"/>
      <c r="C215"/>
      <c r="D215"/>
    </row>
    <row r="216" spans="1:4" ht="15" customHeight="1" x14ac:dyDescent="0.45">
      <c r="A216" s="82"/>
      <c r="B216"/>
      <c r="C216"/>
      <c r="D216"/>
    </row>
    <row r="217" spans="1:4" ht="15" customHeight="1" x14ac:dyDescent="0.45">
      <c r="A217" s="82"/>
      <c r="B217"/>
      <c r="C217"/>
      <c r="D217"/>
    </row>
    <row r="218" spans="1:4" ht="15" customHeight="1" x14ac:dyDescent="0.45">
      <c r="A218" s="82"/>
      <c r="B218"/>
      <c r="C218"/>
      <c r="D218"/>
    </row>
    <row r="219" spans="1:4" ht="15" customHeight="1" x14ac:dyDescent="0.45">
      <c r="A219" s="82"/>
      <c r="B219"/>
      <c r="C219"/>
      <c r="D219"/>
    </row>
    <row r="220" spans="1:4" ht="15" customHeight="1" x14ac:dyDescent="0.45">
      <c r="A220" s="82"/>
      <c r="B220"/>
      <c r="C220"/>
      <c r="D220"/>
    </row>
    <row r="221" spans="1:4" ht="15" customHeight="1" x14ac:dyDescent="0.45">
      <c r="A221" s="82"/>
      <c r="B221"/>
      <c r="C221"/>
      <c r="D221"/>
    </row>
    <row r="222" spans="1:4" ht="15" customHeight="1" x14ac:dyDescent="0.45">
      <c r="A222" s="82"/>
      <c r="B222"/>
      <c r="C222"/>
      <c r="D222"/>
    </row>
    <row r="223" spans="1:4" ht="15" customHeight="1" x14ac:dyDescent="0.45">
      <c r="A223" s="82"/>
      <c r="B223"/>
      <c r="C223"/>
      <c r="D223"/>
    </row>
    <row r="224" spans="1:4" ht="15" customHeight="1" x14ac:dyDescent="0.45">
      <c r="A224" s="82"/>
      <c r="B224"/>
      <c r="C224"/>
      <c r="D224"/>
    </row>
    <row r="225" spans="1:4" ht="15" customHeight="1" x14ac:dyDescent="0.45">
      <c r="A225" s="82"/>
      <c r="B225"/>
      <c r="C225"/>
      <c r="D225"/>
    </row>
    <row r="226" spans="1:4" ht="15" customHeight="1" x14ac:dyDescent="0.45">
      <c r="A226" s="82"/>
      <c r="B226"/>
      <c r="C226"/>
      <c r="D226"/>
    </row>
    <row r="227" spans="1:4" ht="15" customHeight="1" x14ac:dyDescent="0.45">
      <c r="A227" s="82"/>
      <c r="B227"/>
      <c r="C227"/>
      <c r="D227"/>
    </row>
    <row r="228" spans="1:4" ht="15" customHeight="1" x14ac:dyDescent="0.45">
      <c r="A228" s="82"/>
      <c r="B228"/>
      <c r="C228"/>
      <c r="D228"/>
    </row>
    <row r="229" spans="1:4" ht="15" customHeight="1" x14ac:dyDescent="0.45">
      <c r="A229" s="82"/>
      <c r="B229"/>
      <c r="C229"/>
      <c r="D229"/>
    </row>
    <row r="230" spans="1:4" ht="15" customHeight="1" x14ac:dyDescent="0.45">
      <c r="A230" s="82"/>
      <c r="B230"/>
      <c r="C230"/>
      <c r="D230"/>
    </row>
    <row r="231" spans="1:4" ht="15" customHeight="1" x14ac:dyDescent="0.45">
      <c r="A231" s="82"/>
      <c r="B231"/>
      <c r="C231"/>
      <c r="D231"/>
    </row>
    <row r="232" spans="1:4" ht="15" customHeight="1" x14ac:dyDescent="0.45">
      <c r="A232" s="82"/>
      <c r="B232"/>
      <c r="C232"/>
      <c r="D232"/>
    </row>
    <row r="233" spans="1:4" ht="15" customHeight="1" x14ac:dyDescent="0.45">
      <c r="A233" s="82"/>
      <c r="B233"/>
      <c r="C233"/>
      <c r="D233"/>
    </row>
    <row r="234" spans="1:4" ht="15" customHeight="1" x14ac:dyDescent="0.45">
      <c r="A234" s="82"/>
      <c r="B234"/>
      <c r="C234"/>
      <c r="D234"/>
    </row>
    <row r="235" spans="1:4" ht="15" customHeight="1" x14ac:dyDescent="0.45">
      <c r="A235" s="82"/>
      <c r="B235"/>
      <c r="C235"/>
      <c r="D235"/>
    </row>
    <row r="236" spans="1:4" ht="15" customHeight="1" x14ac:dyDescent="0.45">
      <c r="A236" s="82"/>
      <c r="B236"/>
      <c r="C236"/>
      <c r="D236"/>
    </row>
    <row r="237" spans="1:4" ht="15" customHeight="1" x14ac:dyDescent="0.45">
      <c r="A237" s="82"/>
      <c r="B237"/>
      <c r="C237"/>
      <c r="D237"/>
    </row>
    <row r="238" spans="1:4" ht="15" customHeight="1" x14ac:dyDescent="0.45">
      <c r="A238" s="82"/>
      <c r="B238"/>
      <c r="C238"/>
      <c r="D238"/>
    </row>
    <row r="239" spans="1:4" ht="15" customHeight="1" x14ac:dyDescent="0.45">
      <c r="A239" s="82"/>
      <c r="B239"/>
      <c r="C239"/>
      <c r="D239"/>
    </row>
    <row r="240" spans="1:4" ht="15" customHeight="1" x14ac:dyDescent="0.45">
      <c r="A240" s="82"/>
      <c r="B240"/>
      <c r="C240"/>
      <c r="D240"/>
    </row>
    <row r="241" spans="1:4" ht="15" customHeight="1" x14ac:dyDescent="0.45">
      <c r="A241" s="82"/>
      <c r="B241"/>
      <c r="C241"/>
      <c r="D241"/>
    </row>
    <row r="242" spans="1:4" ht="15" customHeight="1" x14ac:dyDescent="0.45">
      <c r="A242" s="82"/>
      <c r="B242"/>
      <c r="C242"/>
      <c r="D242"/>
    </row>
    <row r="243" spans="1:4" ht="15" customHeight="1" x14ac:dyDescent="0.45">
      <c r="A243" s="82"/>
      <c r="B243"/>
      <c r="C243"/>
      <c r="D243"/>
    </row>
    <row r="244" spans="1:4" ht="15" customHeight="1" x14ac:dyDescent="0.45">
      <c r="A244" s="82"/>
      <c r="B244"/>
      <c r="C244"/>
      <c r="D244"/>
    </row>
    <row r="245" spans="1:4" ht="15" customHeight="1" x14ac:dyDescent="0.45">
      <c r="A245" s="82"/>
      <c r="B245"/>
      <c r="C245"/>
      <c r="D245"/>
    </row>
    <row r="246" spans="1:4" ht="15" customHeight="1" x14ac:dyDescent="0.45">
      <c r="A246" s="82"/>
      <c r="B246"/>
      <c r="C246"/>
      <c r="D246"/>
    </row>
    <row r="247" spans="1:4" ht="15" customHeight="1" x14ac:dyDescent="0.45">
      <c r="A247" s="82"/>
      <c r="B247"/>
      <c r="C247"/>
      <c r="D247"/>
    </row>
    <row r="248" spans="1:4" ht="15" customHeight="1" x14ac:dyDescent="0.45">
      <c r="A248" s="82"/>
      <c r="B248"/>
      <c r="C248"/>
      <c r="D248"/>
    </row>
    <row r="249" spans="1:4" ht="15" customHeight="1" x14ac:dyDescent="0.45">
      <c r="A249" s="82"/>
      <c r="B249"/>
      <c r="C249"/>
      <c r="D249"/>
    </row>
    <row r="250" spans="1:4" ht="15" customHeight="1" x14ac:dyDescent="0.45">
      <c r="A250" s="82"/>
      <c r="B250"/>
      <c r="C250"/>
      <c r="D250"/>
    </row>
    <row r="251" spans="1:4" ht="15" customHeight="1" x14ac:dyDescent="0.45">
      <c r="A251" s="82"/>
      <c r="B251"/>
      <c r="C251"/>
      <c r="D251"/>
    </row>
    <row r="252" spans="1:4" ht="15" customHeight="1" x14ac:dyDescent="0.45">
      <c r="A252" s="82"/>
      <c r="B252"/>
      <c r="C252"/>
      <c r="D252"/>
    </row>
    <row r="253" spans="1:4" ht="15" customHeight="1" x14ac:dyDescent="0.45">
      <c r="A253" s="82"/>
      <c r="B253"/>
      <c r="C253"/>
      <c r="D253"/>
    </row>
    <row r="254" spans="1:4" ht="15" customHeight="1" x14ac:dyDescent="0.45">
      <c r="A254" s="82"/>
      <c r="B254"/>
      <c r="C254"/>
      <c r="D254"/>
    </row>
    <row r="255" spans="1:4" ht="15" customHeight="1" x14ac:dyDescent="0.45">
      <c r="A255" s="82"/>
      <c r="B255"/>
      <c r="C255"/>
      <c r="D255"/>
    </row>
    <row r="256" spans="1:4" ht="15" customHeight="1" x14ac:dyDescent="0.45">
      <c r="A256" s="82"/>
      <c r="B256"/>
      <c r="C256"/>
      <c r="D256"/>
    </row>
    <row r="257" spans="1:4" ht="15" customHeight="1" x14ac:dyDescent="0.45">
      <c r="A257" s="82"/>
      <c r="B257"/>
      <c r="C257"/>
      <c r="D257"/>
    </row>
    <row r="258" spans="1:4" ht="15" customHeight="1" x14ac:dyDescent="0.45">
      <c r="A258" s="82"/>
      <c r="B258"/>
      <c r="C258"/>
      <c r="D258"/>
    </row>
    <row r="259" spans="1:4" ht="15" customHeight="1" x14ac:dyDescent="0.45">
      <c r="A259" s="82"/>
      <c r="B259"/>
      <c r="C259"/>
      <c r="D259"/>
    </row>
    <row r="260" spans="1:4" ht="15" customHeight="1" x14ac:dyDescent="0.45">
      <c r="A260" s="82"/>
      <c r="B260"/>
      <c r="C260"/>
      <c r="D260"/>
    </row>
    <row r="261" spans="1:4" ht="15" customHeight="1" x14ac:dyDescent="0.45">
      <c r="A261" s="82"/>
      <c r="B261"/>
      <c r="C261"/>
      <c r="D261"/>
    </row>
    <row r="262" spans="1:4" ht="15" customHeight="1" x14ac:dyDescent="0.45">
      <c r="A262" s="82"/>
      <c r="B262"/>
      <c r="C262"/>
      <c r="D262"/>
    </row>
    <row r="263" spans="1:4" ht="15" customHeight="1" x14ac:dyDescent="0.45">
      <c r="A263" s="82"/>
      <c r="B263"/>
      <c r="C263"/>
      <c r="D263"/>
    </row>
    <row r="264" spans="1:4" ht="15" customHeight="1" x14ac:dyDescent="0.45">
      <c r="A264" s="82"/>
      <c r="B264"/>
      <c r="C264"/>
      <c r="D264"/>
    </row>
    <row r="265" spans="1:4" ht="15" customHeight="1" x14ac:dyDescent="0.45">
      <c r="A265" s="82"/>
      <c r="B265"/>
      <c r="C265"/>
      <c r="D265"/>
    </row>
    <row r="266" spans="1:4" ht="15" customHeight="1" x14ac:dyDescent="0.45">
      <c r="A266" s="82"/>
      <c r="B266"/>
      <c r="C266"/>
      <c r="D266"/>
    </row>
    <row r="267" spans="1:4" ht="15" customHeight="1" x14ac:dyDescent="0.45">
      <c r="A267" s="82"/>
      <c r="B267"/>
      <c r="C267"/>
      <c r="D267"/>
    </row>
    <row r="268" spans="1:4" ht="15" customHeight="1" x14ac:dyDescent="0.45">
      <c r="A268" s="82"/>
      <c r="B268"/>
      <c r="C268"/>
      <c r="D268"/>
    </row>
    <row r="269" spans="1:4" ht="15" customHeight="1" x14ac:dyDescent="0.45">
      <c r="A269" s="82"/>
      <c r="B269"/>
      <c r="C269"/>
      <c r="D269"/>
    </row>
    <row r="270" spans="1:4" ht="15" customHeight="1" x14ac:dyDescent="0.45">
      <c r="A270" s="82"/>
      <c r="B270"/>
      <c r="C270"/>
      <c r="D270"/>
    </row>
    <row r="271" spans="1:4" ht="15" customHeight="1" x14ac:dyDescent="0.45">
      <c r="A271" s="82"/>
      <c r="B271"/>
      <c r="C271"/>
      <c r="D271"/>
    </row>
    <row r="272" spans="1:4" ht="15" customHeight="1" x14ac:dyDescent="0.45">
      <c r="A272" s="82"/>
      <c r="B272"/>
      <c r="C272"/>
      <c r="D272"/>
    </row>
    <row r="273" spans="1:4" ht="15" customHeight="1" x14ac:dyDescent="0.45">
      <c r="A273" s="82"/>
      <c r="B273"/>
      <c r="C273"/>
      <c r="D273"/>
    </row>
    <row r="274" spans="1:4" ht="15" customHeight="1" x14ac:dyDescent="0.45">
      <c r="A274" s="82"/>
      <c r="B274"/>
      <c r="C274"/>
      <c r="D274"/>
    </row>
    <row r="275" spans="1:4" ht="15" customHeight="1" x14ac:dyDescent="0.45">
      <c r="A275" s="82"/>
      <c r="B275"/>
      <c r="C275"/>
      <c r="D275"/>
    </row>
    <row r="276" spans="1:4" ht="15" customHeight="1" x14ac:dyDescent="0.45">
      <c r="A276" s="82"/>
      <c r="B276"/>
      <c r="C276"/>
      <c r="D276"/>
    </row>
    <row r="277" spans="1:4" ht="15" customHeight="1" x14ac:dyDescent="0.45">
      <c r="A277" s="82"/>
      <c r="B277"/>
      <c r="C277"/>
      <c r="D277"/>
    </row>
    <row r="278" spans="1:4" ht="15" customHeight="1" x14ac:dyDescent="0.45">
      <c r="A278" s="82"/>
      <c r="B278"/>
      <c r="C278"/>
      <c r="D278"/>
    </row>
    <row r="279" spans="1:4" ht="15" customHeight="1" x14ac:dyDescent="0.45">
      <c r="A279" s="82"/>
      <c r="B279"/>
      <c r="C279"/>
      <c r="D279"/>
    </row>
    <row r="280" spans="1:4" ht="15" customHeight="1" x14ac:dyDescent="0.45">
      <c r="A280" s="82"/>
      <c r="B280"/>
      <c r="C280"/>
      <c r="D280"/>
    </row>
    <row r="281" spans="1:4" ht="15" customHeight="1" x14ac:dyDescent="0.45">
      <c r="A281" s="82"/>
      <c r="B281"/>
      <c r="C281"/>
      <c r="D281"/>
    </row>
    <row r="282" spans="1:4" ht="15" customHeight="1" x14ac:dyDescent="0.45">
      <c r="A282" s="82"/>
      <c r="B282"/>
      <c r="C282"/>
      <c r="D282"/>
    </row>
    <row r="283" spans="1:4" ht="15" customHeight="1" x14ac:dyDescent="0.45">
      <c r="A283" s="82"/>
      <c r="B283"/>
      <c r="C283"/>
      <c r="D283"/>
    </row>
    <row r="284" spans="1:4" ht="15" customHeight="1" x14ac:dyDescent="0.45">
      <c r="A284" s="82"/>
      <c r="B284"/>
      <c r="C284"/>
      <c r="D284"/>
    </row>
    <row r="285" spans="1:4" ht="15" customHeight="1" x14ac:dyDescent="0.45">
      <c r="A285" s="82"/>
      <c r="B285"/>
      <c r="C285"/>
      <c r="D285"/>
    </row>
    <row r="286" spans="1:4" ht="15" customHeight="1" x14ac:dyDescent="0.45">
      <c r="A286" s="82"/>
      <c r="B286"/>
      <c r="C286"/>
      <c r="D286"/>
    </row>
    <row r="287" spans="1:4" ht="15" customHeight="1" x14ac:dyDescent="0.45">
      <c r="A287" s="82"/>
      <c r="B287"/>
      <c r="C287"/>
      <c r="D287"/>
    </row>
    <row r="288" spans="1:4" ht="15" customHeight="1" x14ac:dyDescent="0.45">
      <c r="A288" s="82"/>
      <c r="B288"/>
      <c r="C288"/>
      <c r="D288"/>
    </row>
    <row r="289" spans="1:4" ht="15" customHeight="1" x14ac:dyDescent="0.45">
      <c r="A289" s="82"/>
      <c r="B289"/>
      <c r="C289"/>
      <c r="D289"/>
    </row>
    <row r="290" spans="1:4" ht="15" customHeight="1" x14ac:dyDescent="0.45">
      <c r="A290" s="82"/>
      <c r="B290"/>
      <c r="C290"/>
      <c r="D290"/>
    </row>
    <row r="291" spans="1:4" ht="15" customHeight="1" x14ac:dyDescent="0.45">
      <c r="A291" s="82"/>
      <c r="B291"/>
      <c r="C291"/>
      <c r="D291"/>
    </row>
    <row r="292" spans="1:4" ht="15" customHeight="1" x14ac:dyDescent="0.45">
      <c r="A292" s="82"/>
      <c r="B292"/>
      <c r="C292"/>
      <c r="D292"/>
    </row>
    <row r="293" spans="1:4" ht="15" customHeight="1" x14ac:dyDescent="0.45">
      <c r="A293" s="82"/>
      <c r="B293"/>
      <c r="C293"/>
      <c r="D293"/>
    </row>
    <row r="294" spans="1:4" ht="15" customHeight="1" x14ac:dyDescent="0.45">
      <c r="A294" s="82"/>
      <c r="B294"/>
      <c r="C294"/>
      <c r="D294"/>
    </row>
    <row r="295" spans="1:4" ht="15" customHeight="1" x14ac:dyDescent="0.45">
      <c r="A295" s="82"/>
      <c r="B295"/>
      <c r="C295"/>
      <c r="D295"/>
    </row>
    <row r="296" spans="1:4" ht="15" customHeight="1" x14ac:dyDescent="0.45">
      <c r="A296" s="82"/>
      <c r="B296"/>
      <c r="C296"/>
      <c r="D296"/>
    </row>
    <row r="297" spans="1:4" ht="15" customHeight="1" x14ac:dyDescent="0.45">
      <c r="A297" s="82"/>
      <c r="B297"/>
      <c r="C297"/>
      <c r="D297"/>
    </row>
    <row r="298" spans="1:4" ht="15" customHeight="1" x14ac:dyDescent="0.45">
      <c r="A298" s="82"/>
      <c r="B298"/>
      <c r="C298"/>
      <c r="D298"/>
    </row>
    <row r="299" spans="1:4" ht="15" customHeight="1" x14ac:dyDescent="0.45">
      <c r="A299" s="82"/>
      <c r="B299"/>
      <c r="C299"/>
      <c r="D299"/>
    </row>
    <row r="300" spans="1:4" ht="15" customHeight="1" x14ac:dyDescent="0.45">
      <c r="A300" s="82"/>
      <c r="B300"/>
      <c r="C300"/>
      <c r="D300"/>
    </row>
    <row r="301" spans="1:4" ht="15" customHeight="1" x14ac:dyDescent="0.45">
      <c r="A301" s="82"/>
      <c r="B301"/>
      <c r="C301"/>
      <c r="D301"/>
    </row>
    <row r="302" spans="1:4" ht="15" customHeight="1" x14ac:dyDescent="0.45">
      <c r="A302" s="82"/>
      <c r="B302"/>
      <c r="C302"/>
      <c r="D302"/>
    </row>
    <row r="303" spans="1:4" ht="15" customHeight="1" x14ac:dyDescent="0.45">
      <c r="A303" s="82"/>
      <c r="B303"/>
      <c r="C303"/>
      <c r="D303"/>
    </row>
    <row r="304" spans="1:4" ht="15" customHeight="1" x14ac:dyDescent="0.45">
      <c r="A304" s="82"/>
      <c r="B304"/>
      <c r="C304"/>
      <c r="D304"/>
    </row>
    <row r="305" spans="1:4" ht="15" customHeight="1" x14ac:dyDescent="0.45">
      <c r="A305" s="82"/>
      <c r="B305"/>
      <c r="C305"/>
      <c r="D305"/>
    </row>
    <row r="306" spans="1:4" ht="15" customHeight="1" x14ac:dyDescent="0.45">
      <c r="A306" s="82"/>
      <c r="B306"/>
      <c r="C306"/>
      <c r="D306"/>
    </row>
    <row r="307" spans="1:4" ht="15" customHeight="1" x14ac:dyDescent="0.45">
      <c r="A307" s="82"/>
      <c r="B307"/>
      <c r="C307"/>
      <c r="D307"/>
    </row>
    <row r="308" spans="1:4" ht="15" customHeight="1" x14ac:dyDescent="0.45">
      <c r="A308" s="82"/>
      <c r="B308"/>
      <c r="C308"/>
      <c r="D308"/>
    </row>
    <row r="309" spans="1:4" ht="15" customHeight="1" x14ac:dyDescent="0.45">
      <c r="A309" s="82"/>
      <c r="B309"/>
      <c r="C309"/>
      <c r="D309"/>
    </row>
    <row r="310" spans="1:4" ht="15" customHeight="1" x14ac:dyDescent="0.45">
      <c r="A310" s="82"/>
      <c r="B310"/>
      <c r="C310"/>
      <c r="D310"/>
    </row>
    <row r="311" spans="1:4" ht="15" customHeight="1" x14ac:dyDescent="0.45">
      <c r="A311" s="82"/>
      <c r="B311"/>
      <c r="C311"/>
      <c r="D311"/>
    </row>
    <row r="312" spans="1:4" ht="15" customHeight="1" x14ac:dyDescent="0.45">
      <c r="A312" s="82"/>
      <c r="B312"/>
      <c r="C312"/>
      <c r="D312"/>
    </row>
    <row r="313" spans="1:4" ht="15" customHeight="1" x14ac:dyDescent="0.45">
      <c r="A313" s="82"/>
      <c r="B313"/>
      <c r="C313"/>
      <c r="D313"/>
    </row>
    <row r="314" spans="1:4" ht="15" customHeight="1" x14ac:dyDescent="0.45">
      <c r="A314" s="82"/>
      <c r="B314"/>
      <c r="C314"/>
      <c r="D314"/>
    </row>
    <row r="315" spans="1:4" ht="15" customHeight="1" x14ac:dyDescent="0.45">
      <c r="A315" s="82"/>
      <c r="B315"/>
      <c r="C315"/>
      <c r="D315"/>
    </row>
    <row r="316" spans="1:4" ht="15" customHeight="1" x14ac:dyDescent="0.45">
      <c r="A316" s="82"/>
      <c r="B316"/>
      <c r="C316"/>
      <c r="D316"/>
    </row>
    <row r="317" spans="1:4" ht="15" customHeight="1" x14ac:dyDescent="0.45">
      <c r="A317" s="82"/>
      <c r="B317"/>
      <c r="C317"/>
      <c r="D317"/>
    </row>
    <row r="318" spans="1:4" ht="15" customHeight="1" x14ac:dyDescent="0.45">
      <c r="A318" s="82"/>
      <c r="B318"/>
      <c r="C318"/>
      <c r="D318"/>
    </row>
    <row r="319" spans="1:4" ht="15" customHeight="1" x14ac:dyDescent="0.45">
      <c r="A319" s="82"/>
      <c r="B319"/>
      <c r="C319"/>
      <c r="D319"/>
    </row>
    <row r="320" spans="1:4" ht="15" customHeight="1" x14ac:dyDescent="0.45">
      <c r="A320" s="82"/>
      <c r="B320"/>
      <c r="C320"/>
      <c r="D320"/>
    </row>
    <row r="321" spans="1:4" ht="15" customHeight="1" x14ac:dyDescent="0.45">
      <c r="A321" s="82"/>
      <c r="B321"/>
      <c r="C321"/>
      <c r="D321"/>
    </row>
    <row r="322" spans="1:4" ht="15" customHeight="1" x14ac:dyDescent="0.45">
      <c r="A322" s="82"/>
      <c r="B322"/>
      <c r="C322"/>
      <c r="D322"/>
    </row>
    <row r="323" spans="1:4" ht="15" customHeight="1" x14ac:dyDescent="0.45">
      <c r="A323" s="82"/>
      <c r="B323"/>
      <c r="C323"/>
      <c r="D323"/>
    </row>
    <row r="324" spans="1:4" ht="15" customHeight="1" x14ac:dyDescent="0.45">
      <c r="A324" s="82"/>
      <c r="B324"/>
      <c r="C324"/>
      <c r="D324"/>
    </row>
    <row r="325" spans="1:4" ht="15" customHeight="1" x14ac:dyDescent="0.45">
      <c r="A325" s="82"/>
      <c r="B325"/>
      <c r="C325"/>
      <c r="D325"/>
    </row>
    <row r="326" spans="1:4" ht="15" customHeight="1" x14ac:dyDescent="0.45">
      <c r="A326" s="82"/>
      <c r="B326"/>
      <c r="C326"/>
      <c r="D326"/>
    </row>
    <row r="327" spans="1:4" ht="15" customHeight="1" x14ac:dyDescent="0.45">
      <c r="A327" s="82"/>
      <c r="B327"/>
      <c r="C327"/>
      <c r="D327"/>
    </row>
    <row r="328" spans="1:4" ht="15" customHeight="1" x14ac:dyDescent="0.45">
      <c r="A328" s="82"/>
      <c r="B328"/>
      <c r="C328"/>
      <c r="D328"/>
    </row>
    <row r="329" spans="1:4" ht="15" customHeight="1" x14ac:dyDescent="0.45">
      <c r="A329" s="82"/>
      <c r="B329"/>
      <c r="C329"/>
      <c r="D329"/>
    </row>
    <row r="330" spans="1:4" ht="15" customHeight="1" x14ac:dyDescent="0.45">
      <c r="A330" s="82"/>
      <c r="B330"/>
      <c r="C330"/>
      <c r="D330"/>
    </row>
    <row r="331" spans="1:4" ht="15" customHeight="1" x14ac:dyDescent="0.45">
      <c r="A331" s="82"/>
      <c r="B331"/>
      <c r="C331"/>
      <c r="D331"/>
    </row>
    <row r="332" spans="1:4" ht="15" customHeight="1" x14ac:dyDescent="0.45">
      <c r="A332" s="82"/>
      <c r="B332"/>
      <c r="C332"/>
      <c r="D332"/>
    </row>
    <row r="333" spans="1:4" ht="15" customHeight="1" x14ac:dyDescent="0.45">
      <c r="A333" s="82"/>
      <c r="B333"/>
      <c r="C333"/>
      <c r="D333"/>
    </row>
    <row r="334" spans="1:4" ht="15" customHeight="1" x14ac:dyDescent="0.45">
      <c r="A334" s="82"/>
      <c r="B334"/>
      <c r="C334"/>
      <c r="D334"/>
    </row>
    <row r="335" spans="1:4" ht="15" customHeight="1" x14ac:dyDescent="0.45">
      <c r="A335" s="82"/>
      <c r="B335"/>
      <c r="C335"/>
      <c r="D335"/>
    </row>
    <row r="336" spans="1:4" ht="15" customHeight="1" x14ac:dyDescent="0.45">
      <c r="A336" s="82"/>
      <c r="B336"/>
      <c r="C336"/>
      <c r="D336"/>
    </row>
    <row r="337" spans="1:4" ht="15" customHeight="1" x14ac:dyDescent="0.45">
      <c r="A337" s="82"/>
      <c r="B337"/>
      <c r="C337"/>
      <c r="D337"/>
    </row>
    <row r="338" spans="1:4" ht="15" customHeight="1" x14ac:dyDescent="0.45">
      <c r="A338" s="82"/>
      <c r="B338"/>
      <c r="C338"/>
      <c r="D338"/>
    </row>
    <row r="339" spans="1:4" ht="15" customHeight="1" x14ac:dyDescent="0.45">
      <c r="A339" s="82"/>
      <c r="B339"/>
      <c r="C339"/>
      <c r="D339"/>
    </row>
    <row r="340" spans="1:4" ht="15" customHeight="1" x14ac:dyDescent="0.45">
      <c r="A340" s="82"/>
      <c r="B340"/>
      <c r="C340"/>
      <c r="D340"/>
    </row>
    <row r="341" spans="1:4" ht="15" customHeight="1" x14ac:dyDescent="0.45">
      <c r="A341" s="82"/>
      <c r="B341"/>
      <c r="C341"/>
      <c r="D341"/>
    </row>
    <row r="342" spans="1:4" ht="15" customHeight="1" x14ac:dyDescent="0.45">
      <c r="A342" s="82"/>
      <c r="B342"/>
      <c r="C342"/>
      <c r="D342"/>
    </row>
    <row r="343" spans="1:4" ht="15" customHeight="1" x14ac:dyDescent="0.45">
      <c r="A343" s="82"/>
      <c r="B343"/>
      <c r="C343"/>
      <c r="D343"/>
    </row>
    <row r="344" spans="1:4" ht="15" customHeight="1" x14ac:dyDescent="0.45">
      <c r="A344" s="82"/>
      <c r="B344"/>
      <c r="C344"/>
      <c r="D344"/>
    </row>
    <row r="345" spans="1:4" ht="15" customHeight="1" x14ac:dyDescent="0.45">
      <c r="A345" s="82"/>
      <c r="B345"/>
      <c r="C345"/>
      <c r="D345"/>
    </row>
    <row r="346" spans="1:4" ht="15" customHeight="1" x14ac:dyDescent="0.45">
      <c r="A346" s="82"/>
      <c r="B346"/>
      <c r="C346"/>
      <c r="D346"/>
    </row>
    <row r="347" spans="1:4" ht="15" customHeight="1" x14ac:dyDescent="0.45">
      <c r="A347" s="82"/>
      <c r="B347"/>
      <c r="C347"/>
      <c r="D347"/>
    </row>
    <row r="348" spans="1:4" ht="15" customHeight="1" x14ac:dyDescent="0.45">
      <c r="A348" s="82"/>
      <c r="B348"/>
      <c r="C348"/>
      <c r="D348"/>
    </row>
    <row r="349" spans="1:4" ht="15" customHeight="1" x14ac:dyDescent="0.45">
      <c r="A349" s="82"/>
      <c r="B349"/>
      <c r="C349"/>
      <c r="D349"/>
    </row>
    <row r="350" spans="1:4" ht="15" customHeight="1" x14ac:dyDescent="0.45">
      <c r="A350" s="82"/>
      <c r="B350"/>
      <c r="C350"/>
      <c r="D350"/>
    </row>
    <row r="351" spans="1:4" ht="15" customHeight="1" x14ac:dyDescent="0.45">
      <c r="A351" s="82"/>
      <c r="B351"/>
      <c r="C351"/>
      <c r="D351"/>
    </row>
    <row r="352" spans="1:4" ht="15" customHeight="1" x14ac:dyDescent="0.45">
      <c r="A352" s="82"/>
      <c r="B352"/>
      <c r="C352"/>
      <c r="D352"/>
    </row>
    <row r="353" spans="1:4" ht="15" customHeight="1" x14ac:dyDescent="0.45">
      <c r="A353" s="82"/>
      <c r="B353"/>
      <c r="C353"/>
      <c r="D353"/>
    </row>
    <row r="354" spans="1:4" ht="15" customHeight="1" x14ac:dyDescent="0.45">
      <c r="A354" s="82"/>
      <c r="B354"/>
      <c r="C354"/>
      <c r="D354"/>
    </row>
    <row r="355" spans="1:4" ht="15" customHeight="1" x14ac:dyDescent="0.45">
      <c r="A355" s="82"/>
      <c r="B355"/>
      <c r="C355"/>
      <c r="D355"/>
    </row>
    <row r="356" spans="1:4" ht="15" customHeight="1" x14ac:dyDescent="0.45">
      <c r="A356" s="82"/>
      <c r="B356"/>
      <c r="C356"/>
      <c r="D356"/>
    </row>
    <row r="357" spans="1:4" ht="15" customHeight="1" x14ac:dyDescent="0.45">
      <c r="A357" s="82"/>
      <c r="B357"/>
      <c r="C357"/>
      <c r="D357"/>
    </row>
    <row r="358" spans="1:4" ht="15" customHeight="1" x14ac:dyDescent="0.45">
      <c r="A358" s="82"/>
      <c r="B358"/>
      <c r="C358"/>
      <c r="D358"/>
    </row>
    <row r="359" spans="1:4" ht="15" customHeight="1" x14ac:dyDescent="0.45">
      <c r="A359" s="82"/>
      <c r="B359"/>
      <c r="C359"/>
      <c r="D359"/>
    </row>
    <row r="360" spans="1:4" ht="15" customHeight="1" x14ac:dyDescent="0.45">
      <c r="A360" s="82"/>
      <c r="B360"/>
      <c r="C360"/>
      <c r="D360"/>
    </row>
    <row r="361" spans="1:4" ht="15" customHeight="1" x14ac:dyDescent="0.45">
      <c r="A361" s="82"/>
      <c r="B361"/>
      <c r="C361"/>
      <c r="D361"/>
    </row>
    <row r="362" spans="1:4" ht="15" customHeight="1" x14ac:dyDescent="0.45">
      <c r="A362" s="82"/>
      <c r="B362"/>
      <c r="C362"/>
      <c r="D362"/>
    </row>
    <row r="363" spans="1:4" ht="15" customHeight="1" x14ac:dyDescent="0.45">
      <c r="A363" s="82"/>
      <c r="B363"/>
      <c r="C363"/>
      <c r="D363"/>
    </row>
    <row r="364" spans="1:4" ht="15" customHeight="1" x14ac:dyDescent="0.45">
      <c r="A364" s="82"/>
      <c r="B364"/>
      <c r="C364"/>
      <c r="D364"/>
    </row>
    <row r="365" spans="1:4" ht="15" customHeight="1" x14ac:dyDescent="0.45">
      <c r="A365" s="82"/>
      <c r="B365"/>
      <c r="C365"/>
      <c r="D365"/>
    </row>
    <row r="366" spans="1:4" ht="15" customHeight="1" x14ac:dyDescent="0.45">
      <c r="A366" s="82"/>
      <c r="B366"/>
      <c r="C366"/>
      <c r="D366"/>
    </row>
    <row r="367" spans="1:4" ht="15" customHeight="1" x14ac:dyDescent="0.45">
      <c r="A367" s="82"/>
      <c r="B367"/>
      <c r="C367"/>
      <c r="D367"/>
    </row>
    <row r="368" spans="1:4" ht="15" customHeight="1" x14ac:dyDescent="0.45">
      <c r="A368" s="82"/>
      <c r="B368"/>
      <c r="C368"/>
      <c r="D368"/>
    </row>
    <row r="369" spans="1:4" ht="15" customHeight="1" x14ac:dyDescent="0.45">
      <c r="A369" s="82"/>
      <c r="B369"/>
      <c r="C369"/>
      <c r="D369"/>
    </row>
    <row r="370" spans="1:4" ht="15" customHeight="1" x14ac:dyDescent="0.45">
      <c r="A370" s="82"/>
      <c r="B370"/>
      <c r="C370"/>
      <c r="D370"/>
    </row>
    <row r="371" spans="1:4" ht="15" customHeight="1" x14ac:dyDescent="0.45">
      <c r="A371" s="82"/>
      <c r="B371"/>
      <c r="C371"/>
      <c r="D371"/>
    </row>
    <row r="372" spans="1:4" ht="15" customHeight="1" x14ac:dyDescent="0.45">
      <c r="A372" s="82"/>
      <c r="B372"/>
      <c r="C372"/>
      <c r="D372"/>
    </row>
    <row r="373" spans="1:4" ht="15" customHeight="1" x14ac:dyDescent="0.45">
      <c r="A373" s="82"/>
      <c r="B373"/>
      <c r="C373"/>
      <c r="D373"/>
    </row>
    <row r="374" spans="1:4" ht="15" customHeight="1" x14ac:dyDescent="0.45">
      <c r="A374" s="82"/>
      <c r="B374"/>
      <c r="C374"/>
      <c r="D374"/>
    </row>
    <row r="375" spans="1:4" ht="15" customHeight="1" x14ac:dyDescent="0.45">
      <c r="A375" s="82"/>
      <c r="B375"/>
      <c r="C375"/>
      <c r="D375"/>
    </row>
    <row r="376" spans="1:4" ht="15" customHeight="1" x14ac:dyDescent="0.45">
      <c r="A376" s="82"/>
      <c r="B376"/>
      <c r="C376"/>
      <c r="D376"/>
    </row>
    <row r="377" spans="1:4" ht="15" customHeight="1" x14ac:dyDescent="0.45">
      <c r="A377" s="82"/>
      <c r="B377"/>
      <c r="C377"/>
      <c r="D377"/>
    </row>
    <row r="378" spans="1:4" ht="15" customHeight="1" x14ac:dyDescent="0.45">
      <c r="A378" s="82"/>
      <c r="B378"/>
      <c r="C378"/>
      <c r="D378"/>
    </row>
    <row r="379" spans="1:4" ht="15" customHeight="1" x14ac:dyDescent="0.45">
      <c r="A379" s="82"/>
      <c r="B379"/>
      <c r="C379"/>
      <c r="D379"/>
    </row>
    <row r="380" spans="1:4" ht="15" customHeight="1" x14ac:dyDescent="0.45">
      <c r="A380" s="82"/>
      <c r="B380"/>
      <c r="C380"/>
      <c r="D380"/>
    </row>
    <row r="381" spans="1:4" ht="15" customHeight="1" x14ac:dyDescent="0.45">
      <c r="A381" s="82"/>
      <c r="B381"/>
      <c r="C381"/>
      <c r="D381"/>
    </row>
    <row r="382" spans="1:4" ht="15" customHeight="1" x14ac:dyDescent="0.45">
      <c r="A382" s="82"/>
      <c r="B382"/>
      <c r="C382"/>
      <c r="D382"/>
    </row>
    <row r="383" spans="1:4" ht="15" customHeight="1" x14ac:dyDescent="0.45">
      <c r="A383" s="82"/>
      <c r="B383"/>
      <c r="C383"/>
      <c r="D383"/>
    </row>
    <row r="384" spans="1:4" ht="15" customHeight="1" x14ac:dyDescent="0.45">
      <c r="A384" s="82"/>
      <c r="B384"/>
      <c r="C384"/>
      <c r="D384"/>
    </row>
    <row r="385" spans="1:4" ht="15" customHeight="1" x14ac:dyDescent="0.45">
      <c r="A385" s="82"/>
      <c r="B385"/>
      <c r="C385"/>
      <c r="D385"/>
    </row>
    <row r="386" spans="1:4" ht="15" customHeight="1" x14ac:dyDescent="0.45">
      <c r="A386" s="82"/>
      <c r="B386"/>
      <c r="C386"/>
      <c r="D386"/>
    </row>
    <row r="387" spans="1:4" ht="15" customHeight="1" x14ac:dyDescent="0.45">
      <c r="A387" s="82"/>
      <c r="B387"/>
      <c r="C387"/>
      <c r="D387"/>
    </row>
    <row r="388" spans="1:4" ht="15" customHeight="1" x14ac:dyDescent="0.45">
      <c r="A388" s="82"/>
      <c r="B388"/>
      <c r="C388"/>
      <c r="D388"/>
    </row>
    <row r="389" spans="1:4" ht="15" customHeight="1" x14ac:dyDescent="0.45">
      <c r="A389" s="82"/>
      <c r="B389"/>
      <c r="C389"/>
      <c r="D389"/>
    </row>
    <row r="390" spans="1:4" ht="15" customHeight="1" x14ac:dyDescent="0.45">
      <c r="A390" s="82"/>
      <c r="B390"/>
      <c r="C390"/>
      <c r="D390"/>
    </row>
    <row r="391" spans="1:4" ht="15" customHeight="1" x14ac:dyDescent="0.45">
      <c r="A391" s="82"/>
      <c r="B391"/>
      <c r="C391"/>
      <c r="D391"/>
    </row>
    <row r="392" spans="1:4" ht="15" customHeight="1" x14ac:dyDescent="0.45">
      <c r="A392" s="82"/>
      <c r="B392"/>
      <c r="C392"/>
      <c r="D392"/>
    </row>
    <row r="393" spans="1:4" ht="15" customHeight="1" x14ac:dyDescent="0.45">
      <c r="A393" s="82"/>
      <c r="B393"/>
      <c r="C393"/>
      <c r="D393"/>
    </row>
    <row r="394" spans="1:4" ht="15" customHeight="1" x14ac:dyDescent="0.45">
      <c r="A394" s="82"/>
      <c r="B394"/>
      <c r="C394"/>
      <c r="D394"/>
    </row>
    <row r="395" spans="1:4" ht="15" customHeight="1" x14ac:dyDescent="0.45">
      <c r="A395" s="82"/>
      <c r="B395"/>
      <c r="C395"/>
      <c r="D395"/>
    </row>
    <row r="396" spans="1:4" ht="15" customHeight="1" x14ac:dyDescent="0.45">
      <c r="A396" s="82"/>
      <c r="B396"/>
      <c r="C396"/>
      <c r="D396"/>
    </row>
    <row r="397" spans="1:4" ht="15" customHeight="1" x14ac:dyDescent="0.45">
      <c r="A397" s="82"/>
      <c r="B397"/>
      <c r="C397"/>
      <c r="D397"/>
    </row>
    <row r="398" spans="1:4" ht="15" customHeight="1" x14ac:dyDescent="0.45">
      <c r="A398" s="82"/>
      <c r="B398"/>
      <c r="C398"/>
      <c r="D398"/>
    </row>
    <row r="399" spans="1:4" ht="15" customHeight="1" x14ac:dyDescent="0.45">
      <c r="A399" s="82"/>
      <c r="B399"/>
      <c r="C399"/>
      <c r="D399"/>
    </row>
    <row r="400" spans="1:4" ht="15" customHeight="1" x14ac:dyDescent="0.45">
      <c r="A400" s="82"/>
      <c r="B400"/>
      <c r="C400"/>
      <c r="D400"/>
    </row>
    <row r="401" spans="1:4" ht="15" customHeight="1" x14ac:dyDescent="0.45">
      <c r="A401" s="82"/>
      <c r="B401"/>
      <c r="C401"/>
      <c r="D401"/>
    </row>
    <row r="402" spans="1:4" ht="15" customHeight="1" x14ac:dyDescent="0.45">
      <c r="A402" s="82"/>
      <c r="B402"/>
      <c r="C402"/>
      <c r="D402"/>
    </row>
    <row r="403" spans="1:4" ht="15" customHeight="1" x14ac:dyDescent="0.45">
      <c r="A403" s="82"/>
      <c r="B403"/>
      <c r="C403"/>
      <c r="D403"/>
    </row>
    <row r="404" spans="1:4" ht="15" customHeight="1" x14ac:dyDescent="0.45">
      <c r="A404" s="82"/>
      <c r="B404"/>
      <c r="C404"/>
      <c r="D404"/>
    </row>
    <row r="405" spans="1:4" ht="15" customHeight="1" x14ac:dyDescent="0.45">
      <c r="A405" s="82"/>
      <c r="B405"/>
      <c r="C405"/>
      <c r="D405"/>
    </row>
    <row r="406" spans="1:4" ht="15" customHeight="1" x14ac:dyDescent="0.45">
      <c r="A406" s="82"/>
      <c r="B406"/>
      <c r="C406"/>
      <c r="D406"/>
    </row>
    <row r="407" spans="1:4" ht="15" customHeight="1" x14ac:dyDescent="0.45">
      <c r="A407" s="82"/>
      <c r="B407"/>
      <c r="C407"/>
      <c r="D407"/>
    </row>
    <row r="408" spans="1:4" ht="15" customHeight="1" x14ac:dyDescent="0.45">
      <c r="A408" s="82"/>
      <c r="B408"/>
      <c r="C408"/>
      <c r="D408"/>
    </row>
    <row r="409" spans="1:4" ht="15" customHeight="1" x14ac:dyDescent="0.45">
      <c r="A409" s="82"/>
      <c r="B409"/>
      <c r="C409"/>
      <c r="D409"/>
    </row>
    <row r="410" spans="1:4" ht="15" customHeight="1" x14ac:dyDescent="0.45">
      <c r="A410" s="82"/>
      <c r="B410"/>
      <c r="C410"/>
      <c r="D410"/>
    </row>
    <row r="411" spans="1:4" ht="15" customHeight="1" x14ac:dyDescent="0.45">
      <c r="A411" s="82"/>
      <c r="B411"/>
      <c r="C411"/>
      <c r="D411"/>
    </row>
    <row r="412" spans="1:4" ht="15" customHeight="1" x14ac:dyDescent="0.45">
      <c r="A412" s="82"/>
      <c r="B412"/>
      <c r="C412"/>
      <c r="D412"/>
    </row>
    <row r="413" spans="1:4" ht="15" customHeight="1" x14ac:dyDescent="0.45">
      <c r="A413" s="82"/>
      <c r="B413"/>
      <c r="C413"/>
      <c r="D413"/>
    </row>
    <row r="414" spans="1:4" ht="15" customHeight="1" x14ac:dyDescent="0.45">
      <c r="A414" s="82"/>
      <c r="B414"/>
      <c r="C414"/>
      <c r="D414"/>
    </row>
    <row r="415" spans="1:4" ht="15" customHeight="1" x14ac:dyDescent="0.45">
      <c r="A415" s="82"/>
      <c r="B415"/>
      <c r="C415"/>
      <c r="D415"/>
    </row>
    <row r="416" spans="1:4" ht="15" customHeight="1" x14ac:dyDescent="0.45">
      <c r="A416" s="82"/>
      <c r="B416"/>
      <c r="C416"/>
      <c r="D416"/>
    </row>
    <row r="417" spans="1:4" ht="15" customHeight="1" x14ac:dyDescent="0.45">
      <c r="A417" s="82"/>
      <c r="B417"/>
      <c r="C417"/>
      <c r="D417"/>
    </row>
    <row r="418" spans="1:4" ht="15" customHeight="1" x14ac:dyDescent="0.45">
      <c r="A418" s="82"/>
      <c r="B418"/>
      <c r="C418"/>
      <c r="D418"/>
    </row>
    <row r="419" spans="1:4" ht="15" customHeight="1" x14ac:dyDescent="0.45">
      <c r="A419" s="82"/>
      <c r="B419"/>
      <c r="C419"/>
      <c r="D419"/>
    </row>
    <row r="420" spans="1:4" ht="15" customHeight="1" x14ac:dyDescent="0.45">
      <c r="A420" s="82"/>
      <c r="B420"/>
      <c r="C420"/>
      <c r="D420"/>
    </row>
    <row r="421" spans="1:4" ht="15" customHeight="1" x14ac:dyDescent="0.45">
      <c r="A421" s="82"/>
      <c r="B421"/>
      <c r="C421"/>
      <c r="D421"/>
    </row>
    <row r="422" spans="1:4" ht="15" customHeight="1" x14ac:dyDescent="0.45">
      <c r="A422" s="82"/>
      <c r="B422"/>
      <c r="C422"/>
      <c r="D422"/>
    </row>
    <row r="423" spans="1:4" ht="15" customHeight="1" x14ac:dyDescent="0.45">
      <c r="A423" s="82"/>
      <c r="B423"/>
      <c r="C423"/>
      <c r="D423"/>
    </row>
    <row r="424" spans="1:4" ht="15" customHeight="1" x14ac:dyDescent="0.45">
      <c r="A424" s="82"/>
      <c r="B424"/>
      <c r="C424"/>
      <c r="D424"/>
    </row>
    <row r="425" spans="1:4" ht="15" customHeight="1" x14ac:dyDescent="0.45">
      <c r="A425" s="82"/>
      <c r="B425"/>
      <c r="C425"/>
      <c r="D425"/>
    </row>
    <row r="426" spans="1:4" ht="15" customHeight="1" x14ac:dyDescent="0.45">
      <c r="A426" s="82"/>
      <c r="B426"/>
      <c r="C426"/>
      <c r="D426"/>
    </row>
    <row r="427" spans="1:4" ht="15" customHeight="1" x14ac:dyDescent="0.45">
      <c r="A427" s="82"/>
      <c r="B427"/>
      <c r="C427"/>
      <c r="D427"/>
    </row>
    <row r="428" spans="1:4" ht="15" customHeight="1" x14ac:dyDescent="0.45">
      <c r="A428" s="82"/>
      <c r="B428"/>
      <c r="C428"/>
      <c r="D428"/>
    </row>
    <row r="429" spans="1:4" ht="15" customHeight="1" x14ac:dyDescent="0.45">
      <c r="A429" s="82"/>
      <c r="B429"/>
      <c r="C429"/>
      <c r="D429"/>
    </row>
    <row r="430" spans="1:4" ht="15" customHeight="1" x14ac:dyDescent="0.45">
      <c r="A430" s="82"/>
      <c r="B430"/>
      <c r="C430"/>
      <c r="D430"/>
    </row>
    <row r="431" spans="1:4" ht="15" customHeight="1" x14ac:dyDescent="0.45">
      <c r="A431" s="82"/>
      <c r="B431"/>
      <c r="C431"/>
      <c r="D431"/>
    </row>
    <row r="432" spans="1:4" ht="15" customHeight="1" x14ac:dyDescent="0.45">
      <c r="A432" s="82"/>
      <c r="B432"/>
      <c r="C432"/>
      <c r="D432"/>
    </row>
    <row r="433" spans="1:4" ht="15" customHeight="1" x14ac:dyDescent="0.45">
      <c r="A433" s="82"/>
      <c r="B433"/>
      <c r="C433"/>
      <c r="D433"/>
    </row>
    <row r="434" spans="1:4" ht="15" customHeight="1" x14ac:dyDescent="0.45">
      <c r="A434" s="82"/>
      <c r="B434"/>
      <c r="C434"/>
      <c r="D434"/>
    </row>
    <row r="435" spans="1:4" ht="15" customHeight="1" x14ac:dyDescent="0.45">
      <c r="A435" s="82"/>
      <c r="B435"/>
      <c r="C435"/>
      <c r="D435"/>
    </row>
    <row r="436" spans="1:4" ht="15" customHeight="1" x14ac:dyDescent="0.45">
      <c r="A436" s="82"/>
      <c r="B436"/>
      <c r="C436"/>
      <c r="D436"/>
    </row>
    <row r="437" spans="1:4" ht="15" customHeight="1" x14ac:dyDescent="0.45">
      <c r="A437" s="82"/>
      <c r="B437"/>
      <c r="C437"/>
      <c r="D437"/>
    </row>
    <row r="438" spans="1:4" ht="15" customHeight="1" x14ac:dyDescent="0.45">
      <c r="A438" s="82"/>
      <c r="B438"/>
      <c r="C438"/>
      <c r="D438"/>
    </row>
    <row r="439" spans="1:4" ht="15" customHeight="1" x14ac:dyDescent="0.45">
      <c r="A439" s="82"/>
      <c r="B439"/>
      <c r="C439"/>
      <c r="D439"/>
    </row>
    <row r="440" spans="1:4" ht="15" customHeight="1" x14ac:dyDescent="0.45">
      <c r="A440" s="82"/>
      <c r="B440"/>
      <c r="C440"/>
      <c r="D440"/>
    </row>
    <row r="441" spans="1:4" ht="15" customHeight="1" x14ac:dyDescent="0.45">
      <c r="A441" s="82"/>
      <c r="B441"/>
      <c r="C441"/>
      <c r="D441"/>
    </row>
    <row r="442" spans="1:4" ht="15" customHeight="1" x14ac:dyDescent="0.45">
      <c r="A442" s="82"/>
      <c r="B442"/>
      <c r="C442"/>
      <c r="D442"/>
    </row>
    <row r="443" spans="1:4" ht="15" customHeight="1" x14ac:dyDescent="0.45">
      <c r="A443" s="82"/>
      <c r="B443"/>
      <c r="C443"/>
      <c r="D443"/>
    </row>
    <row r="444" spans="1:4" ht="15" customHeight="1" x14ac:dyDescent="0.45">
      <c r="A444" s="82"/>
      <c r="B444"/>
      <c r="C444"/>
      <c r="D444"/>
    </row>
    <row r="445" spans="1:4" ht="15" customHeight="1" x14ac:dyDescent="0.45">
      <c r="A445" s="82"/>
      <c r="B445"/>
      <c r="C445"/>
      <c r="D445"/>
    </row>
    <row r="446" spans="1:4" ht="15" customHeight="1" x14ac:dyDescent="0.45">
      <c r="A446" s="82"/>
      <c r="B446"/>
      <c r="C446"/>
      <c r="D446"/>
    </row>
    <row r="447" spans="1:4" ht="15" customHeight="1" x14ac:dyDescent="0.45">
      <c r="A447" s="82"/>
      <c r="B447"/>
      <c r="C447"/>
      <c r="D447"/>
    </row>
    <row r="448" spans="1:4" ht="15" customHeight="1" x14ac:dyDescent="0.45">
      <c r="A448" s="82"/>
      <c r="B448"/>
      <c r="C448"/>
      <c r="D448"/>
    </row>
    <row r="449" spans="1:4" ht="15" customHeight="1" x14ac:dyDescent="0.45">
      <c r="A449" s="82"/>
      <c r="B449"/>
      <c r="C449"/>
      <c r="D449"/>
    </row>
    <row r="450" spans="1:4" ht="15" customHeight="1" x14ac:dyDescent="0.45">
      <c r="A450" s="82"/>
      <c r="B450"/>
      <c r="C450"/>
      <c r="D450"/>
    </row>
    <row r="451" spans="1:4" ht="15" customHeight="1" x14ac:dyDescent="0.45">
      <c r="A451" s="82"/>
      <c r="B451"/>
      <c r="C451"/>
      <c r="D451"/>
    </row>
    <row r="452" spans="1:4" ht="15" customHeight="1" x14ac:dyDescent="0.45">
      <c r="A452" s="82"/>
      <c r="B452"/>
      <c r="C452"/>
      <c r="D452"/>
    </row>
    <row r="453" spans="1:4" ht="15" customHeight="1" x14ac:dyDescent="0.45">
      <c r="A453" s="82"/>
      <c r="B453"/>
      <c r="C453"/>
      <c r="D453"/>
    </row>
    <row r="454" spans="1:4" ht="15" customHeight="1" x14ac:dyDescent="0.45">
      <c r="A454" s="82"/>
      <c r="B454"/>
      <c r="C454"/>
      <c r="D454"/>
    </row>
    <row r="455" spans="1:4" ht="15" customHeight="1" x14ac:dyDescent="0.45">
      <c r="A455" s="82"/>
      <c r="B455"/>
      <c r="C455"/>
      <c r="D455"/>
    </row>
    <row r="456" spans="1:4" ht="15" customHeight="1" x14ac:dyDescent="0.45">
      <c r="A456" s="82"/>
      <c r="B456"/>
      <c r="C456"/>
      <c r="D456"/>
    </row>
    <row r="457" spans="1:4" ht="15" customHeight="1" x14ac:dyDescent="0.45">
      <c r="A457" s="82"/>
      <c r="B457"/>
      <c r="C457"/>
      <c r="D457"/>
    </row>
    <row r="458" spans="1:4" ht="15" customHeight="1" x14ac:dyDescent="0.45">
      <c r="A458" s="82"/>
      <c r="B458"/>
      <c r="C458"/>
      <c r="D458"/>
    </row>
    <row r="459" spans="1:4" ht="15" customHeight="1" x14ac:dyDescent="0.45">
      <c r="A459" s="82"/>
      <c r="B459"/>
      <c r="C459"/>
      <c r="D459"/>
    </row>
  </sheetData>
  <pageMargins left="0.7" right="0.7" top="0.75" bottom="0.75" header="0.3" footer="0.3"/>
  <pageSetup paperSize="9" scale="27" orientation="landscape" verticalDpi="1200" r:id="rId1"/>
  <headerFooter>
    <oddHeader xml:space="preserve">&amp;R&amp;10&amp;F 
&amp;A
</oddHeader>
    <oddFooter>&amp;L&amp;10© 2016&amp;C&amp;10Page &amp;P of &amp;N&amp;R&amp;G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6c89911dbbba69f85380b0cbe19a7a97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293c7e17b22c7855182087285b20e1b3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22801A-E0C2-45C7-9919-513051DA66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eded41-6c5d-4718-b7b7-dbfd1652bccf"/>
    <ds:schemaRef ds:uri="6ea4884f-dd23-4a9e-9674-e096257745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4EE1E0-CB16-4AC2-BAF0-B4288BA4B8CB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6ea4884f-dd23-4a9e-9674-e0962577458b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69eded41-6c5d-4718-b7b7-dbfd1652bccf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AB05D98-5125-4D8E-892A-43EFF9706F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Welcome</vt:lpstr>
      <vt:lpstr>Info</vt:lpstr>
      <vt:lpstr>Assumptions and Outputs</vt:lpstr>
      <vt:lpstr>Operations</vt:lpstr>
      <vt:lpstr>Sources and Uses</vt:lpstr>
      <vt:lpstr>P&amp;L and Tax</vt:lpstr>
      <vt:lpstr>Balance sheet</vt:lpstr>
      <vt:lpstr>Cashflow statement</vt:lpstr>
      <vt:lpstr>Debt</vt:lpstr>
      <vt:lpstr>circ_switch</vt:lpstr>
      <vt:lpstr>Local_currency</vt:lpstr>
      <vt:lpstr>'Assumptions and Outputs'!Print_Area</vt:lpstr>
      <vt:lpstr>'Balance sheet'!Print_Area</vt:lpstr>
      <vt:lpstr>'Cashflow statement'!Print_Area</vt:lpstr>
      <vt:lpstr>Debt!Print_Area</vt:lpstr>
      <vt:lpstr>Operations!Print_Area</vt:lpstr>
      <vt:lpstr>'P&amp;L and Tax'!Print_Area</vt:lpstr>
      <vt:lpstr>'Sources and Uses'!Print_Area</vt:lpstr>
      <vt:lpstr>start_date</vt:lpstr>
      <vt:lpstr>today_date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 training</dc:creator>
  <cp:lastModifiedBy>Sophie Harrup</cp:lastModifiedBy>
  <cp:lastPrinted>2024-10-04T09:47:30Z</cp:lastPrinted>
  <dcterms:created xsi:type="dcterms:W3CDTF">2016-02-03T14:06:14Z</dcterms:created>
  <dcterms:modified xsi:type="dcterms:W3CDTF">2024-12-20T13:07:30Z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